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13365" activeTab="0"/>
  </bookViews>
  <sheets>
    <sheet name="Form" sheetId="1" r:id="rId1"/>
    <sheet name="Reports" sheetId="2" r:id="rId2"/>
    <sheet name="Calculations" sheetId="3" r:id="rId3"/>
    <sheet name="Values" sheetId="4" r:id="rId4"/>
    <sheet name="Melee Weapons" sheetId="5" r:id="rId5"/>
    <sheet name="Bows" sheetId="6" r:id="rId6"/>
    <sheet name="Rings" sheetId="7" r:id="rId7"/>
    <sheet name="Amulets" sheetId="8" r:id="rId8"/>
    <sheet name="Light Sources" sheetId="9" r:id="rId9"/>
    <sheet name="Armor" sheetId="10" r:id="rId10"/>
    <sheet name="Cloaks" sheetId="11" r:id="rId11"/>
    <sheet name="Shields" sheetId="12" r:id="rId12"/>
    <sheet name="Headgear" sheetId="13" r:id="rId13"/>
    <sheet name="Gloves" sheetId="14" r:id="rId14"/>
    <sheet name="Boots" sheetId="15" r:id="rId15"/>
  </sheets>
  <definedNames/>
  <calcPr fullCalcOnLoad="1"/>
</workbook>
</file>

<file path=xl/sharedStrings.xml><?xml version="1.0" encoding="utf-8"?>
<sst xmlns="http://schemas.openxmlformats.org/spreadsheetml/2006/main" count="679" uniqueCount="281">
  <si>
    <t>Class</t>
  </si>
  <si>
    <t>Race</t>
  </si>
  <si>
    <t>Level</t>
  </si>
  <si>
    <t>Strength</t>
  </si>
  <si>
    <t>Dexterity</t>
  </si>
  <si>
    <t>Possible Character Classes</t>
  </si>
  <si>
    <t>Warrior</t>
  </si>
  <si>
    <t>Rogue</t>
  </si>
  <si>
    <t>Mage</t>
  </si>
  <si>
    <t>Ranger</t>
  </si>
  <si>
    <t>Priest</t>
  </si>
  <si>
    <t>Paladin</t>
  </si>
  <si>
    <t>Possible Races</t>
  </si>
  <si>
    <t>Human</t>
  </si>
  <si>
    <t>Elf</t>
  </si>
  <si>
    <t>Half-Elf</t>
  </si>
  <si>
    <t>Dunadan</t>
  </si>
  <si>
    <t>Half-Orc</t>
  </si>
  <si>
    <t>Half-Troll</t>
  </si>
  <si>
    <t>Hobbit</t>
  </si>
  <si>
    <t>Dwarf</t>
  </si>
  <si>
    <t>Character Information</t>
  </si>
  <si>
    <t>Burning</t>
  </si>
  <si>
    <t>Melting</t>
  </si>
  <si>
    <t>Freezing</t>
  </si>
  <si>
    <t>Shocking</t>
  </si>
  <si>
    <t>Brand</t>
  </si>
  <si>
    <t>Type</t>
  </si>
  <si>
    <t>Index</t>
  </si>
  <si>
    <t>Value</t>
  </si>
  <si>
    <t>Melee Weapon</t>
  </si>
  <si>
    <t>To Hit</t>
  </si>
  <si>
    <t>To Dam</t>
  </si>
  <si>
    <t>Slays</t>
  </si>
  <si>
    <t>Blessed</t>
  </si>
  <si>
    <t>Speed Bonus</t>
  </si>
  <si>
    <t>Name</t>
  </si>
  <si>
    <t>Ranged Weapon</t>
  </si>
  <si>
    <t>Ring #1</t>
  </si>
  <si>
    <t>Ring #2</t>
  </si>
  <si>
    <t>Amulet</t>
  </si>
  <si>
    <t>Light Source</t>
  </si>
  <si>
    <t>Armor</t>
  </si>
  <si>
    <t>Cloak</t>
  </si>
  <si>
    <t>Shield</t>
  </si>
  <si>
    <t>Helm</t>
  </si>
  <si>
    <t>Gloves</t>
  </si>
  <si>
    <t>Boots</t>
  </si>
  <si>
    <t>Evil</t>
  </si>
  <si>
    <t>Undead</t>
  </si>
  <si>
    <t>Demon</t>
  </si>
  <si>
    <t>Giant</t>
  </si>
  <si>
    <t>Orc</t>
  </si>
  <si>
    <t>Troll</t>
  </si>
  <si>
    <t>Animal</t>
  </si>
  <si>
    <t>Dragon</t>
  </si>
  <si>
    <t>Xdragon</t>
  </si>
  <si>
    <t>To Speed</t>
  </si>
  <si>
    <t>Melee W</t>
  </si>
  <si>
    <t># of Dam Dice</t>
  </si>
  <si>
    <t>Size of Dice</t>
  </si>
  <si>
    <t>New Name</t>
  </si>
  <si>
    <t>Melee Weapons</t>
  </si>
  <si>
    <t>Edged</t>
  </si>
  <si>
    <t>Hafted</t>
  </si>
  <si>
    <t>Polearm</t>
  </si>
  <si>
    <t>Weight</t>
  </si>
  <si>
    <t>Attacks</t>
  </si>
  <si>
    <t>SWI</t>
  </si>
  <si>
    <t>Strength 1</t>
  </si>
  <si>
    <t>Strength 2</t>
  </si>
  <si>
    <t>Dexterity 1</t>
  </si>
  <si>
    <t>Dexterity 2</t>
  </si>
  <si>
    <t>Extra Attacks</t>
  </si>
  <si>
    <t>dRating</t>
  </si>
  <si>
    <t>Base A#</t>
  </si>
  <si>
    <t>Extra A#</t>
  </si>
  <si>
    <t>RaceMod</t>
  </si>
  <si>
    <t>LevelMod</t>
  </si>
  <si>
    <t>StrMod</t>
  </si>
  <si>
    <t>DexMod</t>
  </si>
  <si>
    <t>Base MCS</t>
  </si>
  <si>
    <t>Base CA</t>
  </si>
  <si>
    <t>ItemMod</t>
  </si>
  <si>
    <t>HWPen</t>
  </si>
  <si>
    <t>EWPen</t>
  </si>
  <si>
    <t>TSB</t>
  </si>
  <si>
    <t>StunPen</t>
  </si>
  <si>
    <t>Bonus tCS</t>
  </si>
  <si>
    <t>Overall CS</t>
  </si>
  <si>
    <t>High-Elf</t>
  </si>
  <si>
    <t>Gnome</t>
  </si>
  <si>
    <t>HW</t>
  </si>
  <si>
    <t>Monster's AC</t>
  </si>
  <si>
    <t>Conditions</t>
  </si>
  <si>
    <t>Blessing</t>
  </si>
  <si>
    <t>Heroic</t>
  </si>
  <si>
    <t>Berserk</t>
  </si>
  <si>
    <t>Stunned</t>
  </si>
  <si>
    <t>H. Stunned</t>
  </si>
  <si>
    <t>Cloaks</t>
  </si>
  <si>
    <t>Shields</t>
  </si>
  <si>
    <t>Helms</t>
  </si>
  <si>
    <t>Totals</t>
  </si>
  <si>
    <t>Blind</t>
  </si>
  <si>
    <t>K</t>
  </si>
  <si>
    <t>MonAC</t>
  </si>
  <si>
    <t>P</t>
  </si>
  <si>
    <t>pGood</t>
  </si>
  <si>
    <t>pGreat</t>
  </si>
  <si>
    <t>pSuberb</t>
  </si>
  <si>
    <t>pCritical</t>
  </si>
  <si>
    <t>pHit</t>
  </si>
  <si>
    <t>p*GR8T*</t>
  </si>
  <si>
    <t>p*SUP*</t>
  </si>
  <si>
    <t>Total</t>
  </si>
  <si>
    <t># of Dice</t>
  </si>
  <si>
    <t>Die Size</t>
  </si>
  <si>
    <t>Base Dam</t>
  </si>
  <si>
    <t>X2</t>
  </si>
  <si>
    <t>X3</t>
  </si>
  <si>
    <t>Good</t>
  </si>
  <si>
    <t>Normal</t>
  </si>
  <si>
    <t>X5</t>
  </si>
  <si>
    <t>Great</t>
  </si>
  <si>
    <t>Superb</t>
  </si>
  <si>
    <t>*GR8T*</t>
  </si>
  <si>
    <t>*SUP*</t>
  </si>
  <si>
    <t>Per Attack</t>
  </si>
  <si>
    <t>Per Key</t>
  </si>
  <si>
    <t>Ranged Weapons</t>
  </si>
  <si>
    <t>Sling</t>
  </si>
  <si>
    <t>Short Bow</t>
  </si>
  <si>
    <t>Long Bow</t>
  </si>
  <si>
    <t>L. Crossbow</t>
  </si>
  <si>
    <t>H. Crossbow</t>
  </si>
  <si>
    <t>Might Bonus</t>
  </si>
  <si>
    <t>Ammo</t>
  </si>
  <si>
    <t>MELEE</t>
  </si>
  <si>
    <t>RANGED</t>
  </si>
  <si>
    <t>MELEE: Calculating # of Attacks</t>
  </si>
  <si>
    <t>MELEE:  Combat Skill</t>
  </si>
  <si>
    <t>MELEE:  Calculating Probabilities</t>
  </si>
  <si>
    <t>MELEE:  Calculating Damage per Hit</t>
  </si>
  <si>
    <t>MELEE:  Calculating Damage per Attack</t>
  </si>
  <si>
    <t>RANGED:  Combat Skill</t>
  </si>
  <si>
    <t>Ranged W</t>
  </si>
  <si>
    <t>NA</t>
  </si>
  <si>
    <t>RANGED: Calculating Probability of a Hit</t>
  </si>
  <si>
    <t>CS</t>
  </si>
  <si>
    <t>Range</t>
  </si>
  <si>
    <t>modCS</t>
  </si>
  <si>
    <t>RANGED:  Calculating Damage per Hit</t>
  </si>
  <si>
    <t>AmmMod</t>
  </si>
  <si>
    <t>Ranged:  Calculating Damage per Attack</t>
  </si>
  <si>
    <t>B Might</t>
  </si>
  <si>
    <t>E Might</t>
  </si>
  <si>
    <t>T Might</t>
  </si>
  <si>
    <t>ASB</t>
  </si>
  <si>
    <t>MWW</t>
  </si>
  <si>
    <t>WSM</t>
  </si>
  <si>
    <t>XDragon</t>
  </si>
  <si>
    <t>Dice Size</t>
  </si>
  <si>
    <t>Dex Bonus</t>
  </si>
  <si>
    <t>Str Bonus</t>
  </si>
  <si>
    <t>STR Bonus</t>
  </si>
  <si>
    <t>DEX Bonus</t>
  </si>
  <si>
    <t>Wisdom</t>
  </si>
  <si>
    <t>Protection</t>
  </si>
  <si>
    <t>Deflection</t>
  </si>
  <si>
    <t>Melee</t>
  </si>
  <si>
    <t>Bow</t>
  </si>
  <si>
    <t>Ring</t>
  </si>
  <si>
    <t>Light Sources</t>
  </si>
  <si>
    <t>Total Saved</t>
  </si>
  <si>
    <t>Results</t>
  </si>
  <si>
    <t>Ranged</t>
  </si>
  <si>
    <t>Speed</t>
  </si>
  <si>
    <t>Energy</t>
  </si>
  <si>
    <t>Ratio</t>
  </si>
  <si>
    <t>w/Speed</t>
  </si>
  <si>
    <t>w/Extra</t>
  </si>
  <si>
    <t>Hasted</t>
  </si>
  <si>
    <t>Steel Helm</t>
  </si>
  <si>
    <t>Extra Might</t>
  </si>
  <si>
    <t>To Hit (Ammo)</t>
  </si>
  <si>
    <t>To Dam (Ammo)</t>
  </si>
  <si>
    <t>Damage</t>
  </si>
  <si>
    <t>Slaying</t>
  </si>
  <si>
    <t>Rings</t>
  </si>
  <si>
    <t>Feather Falling</t>
  </si>
  <si>
    <t>Searching</t>
  </si>
  <si>
    <t>Slow Digestion</t>
  </si>
  <si>
    <t>Resist Fire</t>
  </si>
  <si>
    <t>Resist Cold</t>
  </si>
  <si>
    <t>See Invisible</t>
  </si>
  <si>
    <t>Accuracy</t>
  </si>
  <si>
    <t>Constitution</t>
  </si>
  <si>
    <t>Intelligence</t>
  </si>
  <si>
    <t>Sustain Stat</t>
  </si>
  <si>
    <t>Cursed</t>
  </si>
  <si>
    <t>Free Action</t>
  </si>
  <si>
    <t>Flames</t>
  </si>
  <si>
    <t>Acid</t>
  </si>
  <si>
    <t>Ice</t>
  </si>
  <si>
    <t>Poison Resistance</t>
  </si>
  <si>
    <t>To Damage</t>
  </si>
  <si>
    <t>Other Equipment</t>
  </si>
  <si>
    <t>Piece</t>
  </si>
  <si>
    <t>Artifact</t>
  </si>
  <si>
    <t>Amulets</t>
  </si>
  <si>
    <t>Adornment</t>
  </si>
  <si>
    <t>Resist Acid</t>
  </si>
  <si>
    <t>Charisma</t>
  </si>
  <si>
    <t>Magi</t>
  </si>
  <si>
    <t>Angband Damage Calculator by John M. Ewing</t>
  </si>
  <si>
    <t>Normalized to +0 Speed</t>
  </si>
  <si>
    <t>Torch</t>
  </si>
  <si>
    <t>Lantern</t>
  </si>
  <si>
    <t>flying_firetiger@yahoo.com</t>
  </si>
  <si>
    <t>Headgear</t>
  </si>
  <si>
    <t>Filthy Rag</t>
  </si>
  <si>
    <t>Robe</t>
  </si>
  <si>
    <t>Soft Leather</t>
  </si>
  <si>
    <t>Soft Studded</t>
  </si>
  <si>
    <t>Hard Leather</t>
  </si>
  <si>
    <t>Hard Studded</t>
  </si>
  <si>
    <t>Leather Scale</t>
  </si>
  <si>
    <t>Metal Scale</t>
  </si>
  <si>
    <t>Rusty Chain</t>
  </si>
  <si>
    <t>Chain</t>
  </si>
  <si>
    <t>Double Chain</t>
  </si>
  <si>
    <t>Augmented Chain</t>
  </si>
  <si>
    <t>Bar Chain</t>
  </si>
  <si>
    <t>Metal Brigadine</t>
  </si>
  <si>
    <t>Partial Plate</t>
  </si>
  <si>
    <t>Metal Lamellar</t>
  </si>
  <si>
    <t>Full Plate</t>
  </si>
  <si>
    <t>Ribbed Plate</t>
  </si>
  <si>
    <t>Mithril Chain</t>
  </si>
  <si>
    <t>Mithril Plate</t>
  </si>
  <si>
    <t>Adamantite Plate</t>
  </si>
  <si>
    <t>Bronze DSM</t>
  </si>
  <si>
    <t>Black DSM</t>
  </si>
  <si>
    <t>Blue DSM</t>
  </si>
  <si>
    <t>White DSM</t>
  </si>
  <si>
    <t>Gold DSM</t>
  </si>
  <si>
    <t>Shining DSM</t>
  </si>
  <si>
    <t>Chaos DSM</t>
  </si>
  <si>
    <t>Green DSM</t>
  </si>
  <si>
    <t>Law DSM</t>
  </si>
  <si>
    <t>Red DSM</t>
  </si>
  <si>
    <t>Balance DSM</t>
  </si>
  <si>
    <t>Multi-Hued DSM</t>
  </si>
  <si>
    <t>Power DSM</t>
  </si>
  <si>
    <t>Misc.</t>
  </si>
  <si>
    <t>N/A</t>
  </si>
  <si>
    <t>Shadow Cloak</t>
  </si>
  <si>
    <t>Small Leather</t>
  </si>
  <si>
    <t>Small Metal</t>
  </si>
  <si>
    <t>Large Leather</t>
  </si>
  <si>
    <t>Large Metal</t>
  </si>
  <si>
    <t>Leather Cap</t>
  </si>
  <si>
    <t>Metal Cap</t>
  </si>
  <si>
    <t>Iron Helm</t>
  </si>
  <si>
    <t>Iron Crown</t>
  </si>
  <si>
    <t>Golden Crown</t>
  </si>
  <si>
    <t>Jewel Encrusted Crown</t>
  </si>
  <si>
    <t>Leather Gloves</t>
  </si>
  <si>
    <t>Gauntlets</t>
  </si>
  <si>
    <t>Cesti</t>
  </si>
  <si>
    <t>Metal Shod</t>
  </si>
  <si>
    <t>Version:</t>
  </si>
  <si>
    <t>R Weapon</t>
  </si>
  <si>
    <t>Ring 1</t>
  </si>
  <si>
    <t>Ring 2</t>
  </si>
  <si>
    <t>0.0.4</t>
  </si>
  <si>
    <t>Report Generation</t>
  </si>
  <si>
    <t>Base</t>
  </si>
  <si>
    <t>Composite</t>
  </si>
  <si>
    <t>This spreadsheet is based on the file Attack.spo for Angband 2.7.9 and any changes to the Angband combat system since then are not currently reflected in the spreadsheet.  My thanks and gratitude go to Stephen S. Lee, Leonard Dickens, and John Lame for writing a clear, concise, and easy to read guide on Angband's combat system.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</si>
</sst>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s>
  <fonts count="15">
    <font>
      <sz val="10"/>
      <name val="Arial"/>
      <family val="0"/>
    </font>
    <font>
      <b/>
      <sz val="10"/>
      <name val="Arial"/>
      <family val="2"/>
    </font>
    <font>
      <sz val="8"/>
      <name val="Tahoma"/>
      <family val="2"/>
    </font>
    <font>
      <sz val="20"/>
      <name val="Arial"/>
      <family val="2"/>
    </font>
    <font>
      <b/>
      <sz val="8"/>
      <name val="Arial"/>
      <family val="2"/>
    </font>
    <font>
      <b/>
      <sz val="12"/>
      <name val="Arial"/>
      <family val="2"/>
    </font>
    <font>
      <b/>
      <sz val="10"/>
      <color indexed="9"/>
      <name val="Arial"/>
      <family val="2"/>
    </font>
    <font>
      <sz val="10"/>
      <color indexed="9"/>
      <name val="Arial"/>
      <family val="2"/>
    </font>
    <font>
      <b/>
      <sz val="20"/>
      <name val="Arial"/>
      <family val="2"/>
    </font>
    <font>
      <u val="single"/>
      <sz val="10"/>
      <color indexed="12"/>
      <name val="Arial"/>
      <family val="0"/>
    </font>
    <font>
      <u val="single"/>
      <sz val="10"/>
      <color indexed="36"/>
      <name val="Arial"/>
      <family val="0"/>
    </font>
    <font>
      <b/>
      <i/>
      <sz val="10"/>
      <name val="Arial"/>
      <family val="2"/>
    </font>
    <font>
      <sz val="18"/>
      <name val="Arial"/>
      <family val="2"/>
    </font>
    <font>
      <b/>
      <sz val="18"/>
      <name val="Arial"/>
      <family val="2"/>
    </font>
    <font>
      <i/>
      <sz val="10"/>
      <color indexed="18"/>
      <name val="Arial"/>
      <family val="2"/>
    </font>
  </fonts>
  <fills count="27">
    <fill>
      <patternFill/>
    </fill>
    <fill>
      <patternFill patternType="gray125"/>
    </fill>
    <fill>
      <patternFill patternType="solid">
        <fgColor indexed="47"/>
        <bgColor indexed="64"/>
      </patternFill>
    </fill>
    <fill>
      <patternFill patternType="solid">
        <fgColor indexed="44"/>
        <bgColor indexed="64"/>
      </patternFill>
    </fill>
    <fill>
      <patternFill patternType="lightDown">
        <bgColor indexed="44"/>
      </patternFill>
    </fill>
    <fill>
      <patternFill patternType="lightDown">
        <bgColor indexed="47"/>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46"/>
        <bgColor indexed="64"/>
      </patternFill>
    </fill>
    <fill>
      <patternFill patternType="solid">
        <fgColor indexed="45"/>
        <bgColor indexed="64"/>
      </patternFill>
    </fill>
    <fill>
      <patternFill patternType="solid">
        <fgColor indexed="22"/>
        <bgColor indexed="64"/>
      </patternFill>
    </fill>
    <fill>
      <patternFill patternType="solid">
        <fgColor indexed="13"/>
        <bgColor indexed="64"/>
      </patternFill>
    </fill>
    <fill>
      <patternFill patternType="lightDown">
        <bgColor indexed="13"/>
      </patternFill>
    </fill>
    <fill>
      <patternFill patternType="solid">
        <fgColor indexed="51"/>
        <bgColor indexed="64"/>
      </patternFill>
    </fill>
    <fill>
      <patternFill patternType="lightDown">
        <bgColor indexed="51"/>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4"/>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8"/>
        <bgColor indexed="64"/>
      </patternFill>
    </fill>
    <fill>
      <patternFill patternType="solid">
        <fgColor indexed="61"/>
        <bgColor indexed="64"/>
      </patternFill>
    </fill>
    <fill>
      <patternFill patternType="solid">
        <fgColor indexed="10"/>
        <bgColor indexed="64"/>
      </patternFill>
    </fill>
    <fill>
      <patternFill patternType="solid">
        <fgColor indexed="14"/>
        <bgColor indexed="64"/>
      </patternFill>
    </fill>
  </fills>
  <borders count="63">
    <border>
      <left/>
      <right/>
      <top/>
      <bottom/>
      <diagonal/>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medium"/>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color indexed="63"/>
      </right>
      <top>
        <color indexed="63"/>
      </top>
      <bottom style="thick"/>
    </border>
    <border>
      <left>
        <color indexed="63"/>
      </left>
      <right>
        <color indexed="63"/>
      </right>
      <top>
        <color indexed="63"/>
      </top>
      <bottom style="thick"/>
    </border>
    <border>
      <left style="thin"/>
      <right style="thin"/>
      <top style="thin"/>
      <bottom style="thick"/>
    </border>
    <border>
      <left style="thin"/>
      <right>
        <color indexed="63"/>
      </right>
      <top style="thin"/>
      <bottom style="thick"/>
    </border>
    <border>
      <left style="thin"/>
      <right style="thick"/>
      <top style="thin"/>
      <bottom style="thick"/>
    </border>
    <border>
      <left>
        <color indexed="63"/>
      </left>
      <right style="thick"/>
      <top>
        <color indexed="63"/>
      </top>
      <bottom style="thick"/>
    </border>
    <border>
      <left>
        <color indexed="63"/>
      </left>
      <right>
        <color indexed="63"/>
      </right>
      <top style="thin"/>
      <bottom style="thick"/>
    </border>
    <border>
      <left>
        <color indexed="63"/>
      </left>
      <right style="thin"/>
      <top>
        <color indexed="63"/>
      </top>
      <bottom style="thin"/>
    </border>
    <border>
      <left style="thin"/>
      <right style="thick"/>
      <top>
        <color indexed="63"/>
      </top>
      <bottom style="thin"/>
    </border>
    <border>
      <left>
        <color indexed="63"/>
      </left>
      <right style="thin"/>
      <top style="thin"/>
      <bottom style="thin"/>
    </border>
    <border>
      <left>
        <color indexed="63"/>
      </left>
      <right style="thin"/>
      <top style="thin"/>
      <bottom style="thick"/>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style="thick"/>
    </border>
    <border>
      <left style="medium"/>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color indexed="63"/>
      </right>
      <top style="medium"/>
      <bottom>
        <color indexed="63"/>
      </bottom>
    </border>
    <border>
      <left style="medium"/>
      <right style="medium"/>
      <top>
        <color indexed="63"/>
      </top>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4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0" fillId="2" borderId="0" xfId="0" applyFill="1" applyBorder="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4" borderId="0"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0" fontId="0" fillId="4" borderId="8" xfId="0" applyFill="1" applyBorder="1" applyAlignment="1">
      <alignment/>
    </xf>
    <xf numFmtId="0" fontId="0" fillId="4" borderId="1" xfId="0" applyFill="1" applyBorder="1" applyAlignment="1">
      <alignment/>
    </xf>
    <xf numFmtId="0" fontId="1" fillId="4" borderId="9" xfId="0" applyFont="1" applyFill="1" applyBorder="1" applyAlignment="1">
      <alignment/>
    </xf>
    <xf numFmtId="0" fontId="1" fillId="3" borderId="10" xfId="0" applyFont="1" applyFill="1" applyBorder="1" applyAlignment="1">
      <alignment/>
    </xf>
    <xf numFmtId="0" fontId="1" fillId="3" borderId="11" xfId="0" applyFont="1" applyFill="1" applyBorder="1" applyAlignment="1">
      <alignment/>
    </xf>
    <xf numFmtId="0" fontId="1" fillId="3" borderId="12" xfId="0" applyFont="1" applyFill="1" applyBorder="1" applyAlignment="1">
      <alignment/>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0" fillId="2" borderId="1" xfId="0" applyFill="1" applyBorder="1" applyAlignment="1">
      <alignment/>
    </xf>
    <xf numFmtId="0" fontId="0" fillId="2" borderId="9" xfId="0" applyFill="1" applyBorder="1" applyAlignment="1">
      <alignment/>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0" xfId="0" applyFont="1" applyFill="1" applyBorder="1" applyAlignment="1">
      <alignment horizontal="left"/>
    </xf>
    <xf numFmtId="0" fontId="0" fillId="2" borderId="2" xfId="0" applyFill="1" applyBorder="1" applyAlignment="1">
      <alignment/>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3" xfId="0" applyFill="1" applyBorder="1" applyAlignment="1">
      <alignment/>
    </xf>
    <xf numFmtId="0" fontId="0" fillId="2" borderId="19" xfId="0" applyFill="1" applyBorder="1" applyAlignment="1">
      <alignment/>
    </xf>
    <xf numFmtId="0" fontId="0" fillId="2" borderId="20" xfId="0" applyFill="1" applyBorder="1" applyAlignment="1">
      <alignment/>
    </xf>
    <xf numFmtId="0" fontId="1" fillId="2" borderId="13" xfId="0" applyFont="1" applyFill="1" applyBorder="1" applyAlignment="1">
      <alignment horizontal="center"/>
    </xf>
    <xf numFmtId="0" fontId="1" fillId="2" borderId="21"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22" xfId="0" applyFont="1" applyFill="1" applyBorder="1" applyAlignment="1">
      <alignment horizontal="center"/>
    </xf>
    <xf numFmtId="0" fontId="0" fillId="5" borderId="0" xfId="0" applyFill="1" applyBorder="1" applyAlignment="1">
      <alignment/>
    </xf>
    <xf numFmtId="0" fontId="0" fillId="5" borderId="6" xfId="0" applyFill="1" applyBorder="1" applyAlignment="1">
      <alignment/>
    </xf>
    <xf numFmtId="0" fontId="1" fillId="2" borderId="23" xfId="0" applyFont="1" applyFill="1" applyBorder="1" applyAlignment="1">
      <alignment horizontal="center"/>
    </xf>
    <xf numFmtId="0" fontId="0" fillId="6" borderId="24" xfId="0" applyFill="1" applyBorder="1" applyAlignment="1">
      <alignment horizontal="center"/>
    </xf>
    <xf numFmtId="0" fontId="1" fillId="2" borderId="24" xfId="0" applyFont="1" applyFill="1" applyBorder="1" applyAlignment="1">
      <alignment horizontal="center"/>
    </xf>
    <xf numFmtId="0" fontId="0" fillId="2" borderId="25" xfId="0" applyFill="1" applyBorder="1" applyAlignment="1">
      <alignment/>
    </xf>
    <xf numFmtId="0" fontId="0" fillId="2" borderId="26" xfId="0" applyFill="1" applyBorder="1" applyAlignment="1">
      <alignment/>
    </xf>
    <xf numFmtId="0" fontId="1" fillId="2" borderId="27" xfId="0" applyFont="1" applyFill="1" applyBorder="1" applyAlignment="1">
      <alignment horizontal="center"/>
    </xf>
    <xf numFmtId="0" fontId="1" fillId="3" borderId="14" xfId="0" applyFont="1" applyFill="1" applyBorder="1" applyAlignment="1">
      <alignment/>
    </xf>
    <xf numFmtId="0" fontId="0" fillId="3" borderId="16" xfId="0" applyFill="1" applyBorder="1" applyAlignment="1">
      <alignment/>
    </xf>
    <xf numFmtId="0" fontId="1" fillId="3" borderId="23" xfId="0" applyFont="1" applyFill="1" applyBorder="1" applyAlignment="1">
      <alignment horizontal="center"/>
    </xf>
    <xf numFmtId="0" fontId="1" fillId="7" borderId="28" xfId="0" applyFont="1" applyFill="1" applyBorder="1" applyAlignment="1">
      <alignment horizontal="left"/>
    </xf>
    <xf numFmtId="0" fontId="0" fillId="7" borderId="29" xfId="0" applyFill="1" applyBorder="1" applyAlignment="1">
      <alignment horizontal="center"/>
    </xf>
    <xf numFmtId="0" fontId="1" fillId="7" borderId="29" xfId="0" applyFont="1" applyFill="1" applyBorder="1" applyAlignment="1">
      <alignment horizontal="center"/>
    </xf>
    <xf numFmtId="0" fontId="0" fillId="7" borderId="30" xfId="0" applyFill="1" applyBorder="1" applyAlignment="1">
      <alignment horizontal="center"/>
    </xf>
    <xf numFmtId="0" fontId="1" fillId="7" borderId="31" xfId="0" applyFont="1" applyFill="1" applyBorder="1" applyAlignment="1">
      <alignment horizontal="center"/>
    </xf>
    <xf numFmtId="0" fontId="0" fillId="7" borderId="0" xfId="0" applyFill="1" applyBorder="1" applyAlignment="1">
      <alignment horizontal="center"/>
    </xf>
    <xf numFmtId="0" fontId="1" fillId="7" borderId="0" xfId="0" applyFont="1" applyFill="1" applyBorder="1" applyAlignment="1">
      <alignment horizontal="center"/>
    </xf>
    <xf numFmtId="0" fontId="1" fillId="7" borderId="32" xfId="0" applyFont="1" applyFill="1" applyBorder="1" applyAlignment="1">
      <alignment horizontal="center"/>
    </xf>
    <xf numFmtId="0" fontId="0" fillId="7" borderId="23" xfId="0" applyFill="1" applyBorder="1" applyAlignment="1">
      <alignment horizontal="center"/>
    </xf>
    <xf numFmtId="0" fontId="0" fillId="7" borderId="27" xfId="0" applyFill="1" applyBorder="1" applyAlignment="1">
      <alignment horizontal="center"/>
    </xf>
    <xf numFmtId="0" fontId="0" fillId="7" borderId="33" xfId="0" applyFill="1" applyBorder="1" applyAlignment="1">
      <alignment horizontal="center"/>
    </xf>
    <xf numFmtId="0" fontId="0" fillId="7" borderId="31" xfId="0" applyFill="1" applyBorder="1" applyAlignment="1">
      <alignment horizontal="center"/>
    </xf>
    <xf numFmtId="0" fontId="0" fillId="7" borderId="34" xfId="0" applyFill="1" applyBorder="1" applyAlignment="1">
      <alignment horizontal="center"/>
    </xf>
    <xf numFmtId="0" fontId="0" fillId="7" borderId="35" xfId="0" applyFill="1" applyBorder="1" applyAlignment="1">
      <alignment horizontal="center"/>
    </xf>
    <xf numFmtId="0" fontId="1" fillId="7" borderId="35" xfId="0" applyFont="1" applyFill="1" applyBorder="1" applyAlignment="1">
      <alignment horizontal="center"/>
    </xf>
    <xf numFmtId="0" fontId="0" fillId="7" borderId="36" xfId="0" applyFill="1" applyBorder="1" applyAlignment="1">
      <alignment horizontal="center"/>
    </xf>
    <xf numFmtId="0" fontId="0" fillId="7" borderId="37" xfId="0" applyFill="1" applyBorder="1" applyAlignment="1">
      <alignment horizontal="center"/>
    </xf>
    <xf numFmtId="0" fontId="0" fillId="7" borderId="38" xfId="0" applyFill="1" applyBorder="1" applyAlignment="1">
      <alignment horizontal="center"/>
    </xf>
    <xf numFmtId="0" fontId="1" fillId="8" borderId="28" xfId="0" applyFont="1" applyFill="1" applyBorder="1" applyAlignment="1">
      <alignment horizontal="left"/>
    </xf>
    <xf numFmtId="0" fontId="0" fillId="8" borderId="29" xfId="0" applyFill="1" applyBorder="1" applyAlignment="1">
      <alignment horizontal="center"/>
    </xf>
    <xf numFmtId="0" fontId="0" fillId="8" borderId="30" xfId="0" applyFill="1" applyBorder="1" applyAlignment="1">
      <alignment horizontal="center"/>
    </xf>
    <xf numFmtId="0" fontId="1" fillId="8" borderId="31" xfId="0" applyFont="1" applyFill="1" applyBorder="1" applyAlignment="1">
      <alignment horizontal="center"/>
    </xf>
    <xf numFmtId="0" fontId="0" fillId="8" borderId="0" xfId="0" applyFill="1" applyBorder="1" applyAlignment="1">
      <alignment horizontal="center"/>
    </xf>
    <xf numFmtId="0" fontId="1" fillId="8" borderId="0" xfId="0" applyFont="1" applyFill="1" applyBorder="1" applyAlignment="1">
      <alignment horizontal="center"/>
    </xf>
    <xf numFmtId="0" fontId="0" fillId="8" borderId="32" xfId="0" applyFill="1" applyBorder="1" applyAlignment="1">
      <alignment horizontal="center"/>
    </xf>
    <xf numFmtId="0" fontId="1" fillId="8" borderId="34" xfId="0" applyFont="1" applyFill="1" applyBorder="1" applyAlignment="1">
      <alignment horizontal="center"/>
    </xf>
    <xf numFmtId="0" fontId="1" fillId="8" borderId="35" xfId="0" applyFont="1" applyFill="1" applyBorder="1" applyAlignment="1">
      <alignment horizontal="center"/>
    </xf>
    <xf numFmtId="0" fontId="0" fillId="8" borderId="39" xfId="0" applyFill="1" applyBorder="1" applyAlignment="1">
      <alignment horizontal="center"/>
    </xf>
    <xf numFmtId="0" fontId="0" fillId="8" borderId="40" xfId="0" applyFill="1" applyBorder="1" applyAlignment="1">
      <alignment horizontal="center"/>
    </xf>
    <xf numFmtId="0" fontId="0" fillId="9" borderId="29" xfId="0" applyFill="1" applyBorder="1" applyAlignment="1">
      <alignment horizontal="center"/>
    </xf>
    <xf numFmtId="0" fontId="0" fillId="9" borderId="30" xfId="0" applyFill="1" applyBorder="1" applyAlignment="1">
      <alignment horizontal="center"/>
    </xf>
    <xf numFmtId="0" fontId="0" fillId="9" borderId="31" xfId="0" applyFill="1" applyBorder="1" applyAlignment="1">
      <alignment horizontal="center"/>
    </xf>
    <xf numFmtId="0" fontId="0" fillId="9" borderId="0" xfId="0" applyFill="1" applyBorder="1" applyAlignment="1">
      <alignment horizontal="center"/>
    </xf>
    <xf numFmtId="0" fontId="0" fillId="9" borderId="32" xfId="0" applyFill="1" applyBorder="1" applyAlignment="1">
      <alignment horizontal="center"/>
    </xf>
    <xf numFmtId="0" fontId="0" fillId="9" borderId="34" xfId="0" applyFill="1" applyBorder="1" applyAlignment="1">
      <alignment horizontal="center"/>
    </xf>
    <xf numFmtId="0" fontId="0" fillId="9" borderId="35" xfId="0" applyFill="1" applyBorder="1" applyAlignment="1">
      <alignment horizontal="center"/>
    </xf>
    <xf numFmtId="0" fontId="0" fillId="9" borderId="39" xfId="0" applyFill="1" applyBorder="1" applyAlignment="1">
      <alignment horizontal="center"/>
    </xf>
    <xf numFmtId="0" fontId="1" fillId="10" borderId="28" xfId="0" applyFont="1" applyFill="1" applyBorder="1" applyAlignment="1">
      <alignment horizontal="left"/>
    </xf>
    <xf numFmtId="0" fontId="1" fillId="10" borderId="29" xfId="0" applyFont="1" applyFill="1" applyBorder="1" applyAlignment="1">
      <alignment horizontal="center"/>
    </xf>
    <xf numFmtId="0" fontId="1" fillId="10" borderId="30" xfId="0" applyFont="1" applyFill="1" applyBorder="1" applyAlignment="1">
      <alignment horizontal="center"/>
    </xf>
    <xf numFmtId="0" fontId="1" fillId="10" borderId="31" xfId="0" applyFont="1" applyFill="1" applyBorder="1" applyAlignment="1">
      <alignment horizontal="center"/>
    </xf>
    <xf numFmtId="0" fontId="0" fillId="10" borderId="0" xfId="0" applyFont="1" applyFill="1" applyBorder="1" applyAlignment="1">
      <alignment horizontal="center"/>
    </xf>
    <xf numFmtId="0" fontId="1" fillId="10" borderId="0" xfId="0" applyFont="1" applyFill="1" applyBorder="1" applyAlignment="1">
      <alignment horizontal="center"/>
    </xf>
    <xf numFmtId="0" fontId="0" fillId="10" borderId="0" xfId="0" applyFill="1" applyBorder="1" applyAlignment="1">
      <alignment horizontal="center"/>
    </xf>
    <xf numFmtId="0" fontId="0" fillId="10" borderId="32" xfId="0" applyFill="1" applyBorder="1" applyAlignment="1">
      <alignment horizontal="center"/>
    </xf>
    <xf numFmtId="0" fontId="1" fillId="10" borderId="32" xfId="0" applyFont="1" applyFill="1" applyBorder="1" applyAlignment="1">
      <alignment horizontal="center"/>
    </xf>
    <xf numFmtId="0" fontId="1" fillId="10" borderId="34" xfId="0" applyFont="1" applyFill="1" applyBorder="1" applyAlignment="1">
      <alignment horizontal="center"/>
    </xf>
    <xf numFmtId="0" fontId="1" fillId="11" borderId="28" xfId="0" applyFont="1" applyFill="1" applyBorder="1" applyAlignment="1">
      <alignment horizontal="left"/>
    </xf>
    <xf numFmtId="0" fontId="0" fillId="11" borderId="29" xfId="0" applyFill="1" applyBorder="1" applyAlignment="1">
      <alignment horizontal="center"/>
    </xf>
    <xf numFmtId="0" fontId="0" fillId="11" borderId="30" xfId="0" applyFill="1" applyBorder="1" applyAlignment="1">
      <alignment horizontal="center"/>
    </xf>
    <xf numFmtId="0" fontId="0" fillId="11" borderId="31" xfId="0" applyFill="1" applyBorder="1" applyAlignment="1">
      <alignment horizontal="center"/>
    </xf>
    <xf numFmtId="0" fontId="1" fillId="11" borderId="0" xfId="0" applyFont="1" applyFill="1" applyBorder="1" applyAlignment="1">
      <alignment horizontal="center"/>
    </xf>
    <xf numFmtId="0" fontId="1" fillId="11" borderId="32" xfId="0" applyFont="1" applyFill="1" applyBorder="1" applyAlignment="1">
      <alignment horizontal="center"/>
    </xf>
    <xf numFmtId="0" fontId="1" fillId="11" borderId="31" xfId="0" applyFont="1" applyFill="1" applyBorder="1" applyAlignment="1">
      <alignment horizontal="center"/>
    </xf>
    <xf numFmtId="0" fontId="1" fillId="11" borderId="34" xfId="0" applyFont="1" applyFill="1" applyBorder="1" applyAlignment="1">
      <alignment horizontal="center"/>
    </xf>
    <xf numFmtId="0" fontId="0" fillId="10" borderId="41" xfId="0" applyFill="1" applyBorder="1" applyAlignment="1">
      <alignment horizontal="center"/>
    </xf>
    <xf numFmtId="0" fontId="0" fillId="10" borderId="16" xfId="0" applyFill="1" applyBorder="1" applyAlignment="1">
      <alignment horizontal="center"/>
    </xf>
    <xf numFmtId="0" fontId="0" fillId="10" borderId="42" xfId="0" applyFill="1" applyBorder="1" applyAlignment="1">
      <alignment horizontal="center"/>
    </xf>
    <xf numFmtId="0" fontId="0" fillId="10" borderId="43" xfId="0" applyFill="1" applyBorder="1" applyAlignment="1">
      <alignment horizontal="center"/>
    </xf>
    <xf numFmtId="0" fontId="0" fillId="10" borderId="23" xfId="0" applyFill="1" applyBorder="1" applyAlignment="1">
      <alignment horizontal="center"/>
    </xf>
    <xf numFmtId="0" fontId="0" fillId="10" borderId="44" xfId="0" applyFill="1" applyBorder="1" applyAlignment="1">
      <alignment horizontal="center"/>
    </xf>
    <xf numFmtId="0" fontId="0" fillId="10" borderId="36" xfId="0" applyFill="1" applyBorder="1" applyAlignment="1">
      <alignment horizontal="center"/>
    </xf>
    <xf numFmtId="0" fontId="0" fillId="11" borderId="41" xfId="0" applyFill="1" applyBorder="1" applyAlignment="1">
      <alignment horizontal="center"/>
    </xf>
    <xf numFmtId="0" fontId="0" fillId="11" borderId="16" xfId="0" applyFill="1" applyBorder="1" applyAlignment="1">
      <alignment horizontal="center"/>
    </xf>
    <xf numFmtId="0" fontId="0" fillId="11" borderId="42" xfId="0" applyFill="1" applyBorder="1" applyAlignment="1">
      <alignment horizontal="center"/>
    </xf>
    <xf numFmtId="0" fontId="0" fillId="11" borderId="43" xfId="0" applyFill="1" applyBorder="1" applyAlignment="1">
      <alignment horizontal="center"/>
    </xf>
    <xf numFmtId="0" fontId="0" fillId="11" borderId="23" xfId="0" applyFill="1" applyBorder="1" applyAlignment="1">
      <alignment horizontal="center"/>
    </xf>
    <xf numFmtId="0" fontId="0" fillId="11" borderId="44" xfId="0" applyFill="1" applyBorder="1" applyAlignment="1">
      <alignment horizontal="center"/>
    </xf>
    <xf numFmtId="0" fontId="0" fillId="11" borderId="36" xfId="0" applyFill="1" applyBorder="1" applyAlignment="1">
      <alignment horizontal="center"/>
    </xf>
    <xf numFmtId="0" fontId="0" fillId="11" borderId="38" xfId="0" applyFill="1" applyBorder="1" applyAlignment="1">
      <alignment horizontal="center"/>
    </xf>
    <xf numFmtId="0" fontId="1" fillId="12" borderId="10" xfId="0" applyFont="1" applyFill="1" applyBorder="1" applyAlignment="1">
      <alignment horizontal="left"/>
    </xf>
    <xf numFmtId="0" fontId="1" fillId="12" borderId="11" xfId="0" applyFont="1" applyFill="1" applyBorder="1" applyAlignment="1">
      <alignment horizontal="center"/>
    </xf>
    <xf numFmtId="0" fontId="1" fillId="12" borderId="13" xfId="0" applyFont="1" applyFill="1" applyBorder="1" applyAlignment="1">
      <alignment horizontal="center"/>
    </xf>
    <xf numFmtId="0" fontId="1" fillId="12" borderId="21" xfId="0" applyFont="1" applyFill="1" applyBorder="1" applyAlignment="1">
      <alignment horizontal="center"/>
    </xf>
    <xf numFmtId="0" fontId="1" fillId="12" borderId="14" xfId="0" applyFont="1" applyFill="1" applyBorder="1" applyAlignment="1">
      <alignment horizontal="center"/>
    </xf>
    <xf numFmtId="0" fontId="0" fillId="12" borderId="1" xfId="0" applyFill="1" applyBorder="1" applyAlignment="1">
      <alignment/>
    </xf>
    <xf numFmtId="0" fontId="0" fillId="12" borderId="17" xfId="0" applyFill="1" applyBorder="1" applyAlignment="1">
      <alignment/>
    </xf>
    <xf numFmtId="0" fontId="0" fillId="12" borderId="0" xfId="0" applyFill="1" applyBorder="1" applyAlignment="1">
      <alignment/>
    </xf>
    <xf numFmtId="0" fontId="1" fillId="12" borderId="24" xfId="0" applyFont="1" applyFill="1" applyBorder="1" applyAlignment="1">
      <alignment horizontal="center"/>
    </xf>
    <xf numFmtId="0" fontId="1" fillId="12" borderId="23" xfId="0" applyFont="1" applyFill="1" applyBorder="1" applyAlignment="1">
      <alignment horizontal="center"/>
    </xf>
    <xf numFmtId="0" fontId="0" fillId="12" borderId="18" xfId="0" applyFill="1" applyBorder="1" applyAlignment="1">
      <alignment/>
    </xf>
    <xf numFmtId="0" fontId="0" fillId="12" borderId="25" xfId="0" applyFill="1" applyBorder="1" applyAlignment="1">
      <alignment/>
    </xf>
    <xf numFmtId="0" fontId="0" fillId="13" borderId="0" xfId="0" applyFill="1" applyBorder="1" applyAlignment="1">
      <alignment/>
    </xf>
    <xf numFmtId="0" fontId="0" fillId="12" borderId="9" xfId="0" applyFill="1" applyBorder="1" applyAlignment="1">
      <alignment/>
    </xf>
    <xf numFmtId="0" fontId="0" fillId="13" borderId="6" xfId="0" applyFill="1" applyBorder="1" applyAlignment="1">
      <alignment/>
    </xf>
    <xf numFmtId="0" fontId="0" fillId="12" borderId="45" xfId="0" applyFill="1" applyBorder="1" applyAlignment="1">
      <alignment/>
    </xf>
    <xf numFmtId="0" fontId="1" fillId="14" borderId="13" xfId="0" applyFont="1" applyFill="1" applyBorder="1" applyAlignment="1">
      <alignment horizontal="center"/>
    </xf>
    <xf numFmtId="0" fontId="1" fillId="14" borderId="24" xfId="0" applyFont="1" applyFill="1" applyBorder="1" applyAlignment="1">
      <alignment horizontal="center"/>
    </xf>
    <xf numFmtId="0" fontId="1" fillId="14" borderId="4" xfId="0" applyFont="1" applyFill="1" applyBorder="1" applyAlignment="1">
      <alignment horizontal="center"/>
    </xf>
    <xf numFmtId="0" fontId="1" fillId="14" borderId="21" xfId="0" applyFont="1" applyFill="1" applyBorder="1" applyAlignment="1">
      <alignment horizontal="center"/>
    </xf>
    <xf numFmtId="0" fontId="0" fillId="14" borderId="0" xfId="0" applyFill="1" applyBorder="1" applyAlignment="1">
      <alignment/>
    </xf>
    <xf numFmtId="0" fontId="0" fillId="14" borderId="46" xfId="0" applyFill="1" applyBorder="1" applyAlignment="1">
      <alignment/>
    </xf>
    <xf numFmtId="0" fontId="0" fillId="15" borderId="0" xfId="0" applyFill="1" applyBorder="1" applyAlignment="1">
      <alignment/>
    </xf>
    <xf numFmtId="0" fontId="0" fillId="15" borderId="6" xfId="0" applyFill="1" applyBorder="1" applyAlignment="1">
      <alignment/>
    </xf>
    <xf numFmtId="0" fontId="1" fillId="9" borderId="28" xfId="0" applyFont="1" applyFill="1" applyBorder="1" applyAlignment="1">
      <alignment horizontal="left"/>
    </xf>
    <xf numFmtId="0" fontId="1" fillId="14" borderId="15" xfId="0" applyFont="1" applyFill="1" applyBorder="1" applyAlignment="1">
      <alignment horizontal="center"/>
    </xf>
    <xf numFmtId="0" fontId="0" fillId="14" borderId="17" xfId="0" applyFill="1" applyBorder="1" applyAlignment="1">
      <alignment/>
    </xf>
    <xf numFmtId="0" fontId="0" fillId="14" borderId="47" xfId="0" applyFill="1" applyBorder="1" applyAlignment="1">
      <alignment/>
    </xf>
    <xf numFmtId="0" fontId="0" fillId="13" borderId="48" xfId="0" applyFill="1" applyBorder="1" applyAlignment="1">
      <alignment/>
    </xf>
    <xf numFmtId="0" fontId="1" fillId="9" borderId="31" xfId="0" applyFont="1" applyFill="1" applyBorder="1" applyAlignment="1">
      <alignment horizontal="center"/>
    </xf>
    <xf numFmtId="0" fontId="0" fillId="10" borderId="49" xfId="0" applyFill="1" applyBorder="1" applyAlignment="1">
      <alignment horizontal="center"/>
    </xf>
    <xf numFmtId="0" fontId="0" fillId="10" borderId="0" xfId="0" applyFill="1" applyAlignment="1">
      <alignment horizontal="center"/>
    </xf>
    <xf numFmtId="0" fontId="0" fillId="10" borderId="18" xfId="0" applyFill="1" applyBorder="1" applyAlignment="1">
      <alignment horizontal="center"/>
    </xf>
    <xf numFmtId="0" fontId="0" fillId="10" borderId="27" xfId="0" applyFill="1" applyBorder="1" applyAlignment="1">
      <alignment horizontal="center"/>
    </xf>
    <xf numFmtId="0" fontId="0" fillId="10" borderId="37" xfId="0" applyFill="1" applyBorder="1" applyAlignment="1">
      <alignment horizontal="center"/>
    </xf>
    <xf numFmtId="0" fontId="0" fillId="10" borderId="35" xfId="0" applyFill="1" applyBorder="1" applyAlignment="1">
      <alignment horizontal="center"/>
    </xf>
    <xf numFmtId="0" fontId="0" fillId="10" borderId="39" xfId="0" applyFill="1" applyBorder="1" applyAlignment="1">
      <alignment horizontal="center"/>
    </xf>
    <xf numFmtId="0" fontId="0" fillId="11" borderId="18" xfId="0" applyFill="1" applyBorder="1" applyAlignment="1">
      <alignment horizontal="center"/>
    </xf>
    <xf numFmtId="0" fontId="0" fillId="11" borderId="27" xfId="0" applyFill="1" applyBorder="1" applyAlignment="1">
      <alignment horizontal="center"/>
    </xf>
    <xf numFmtId="0" fontId="0" fillId="11" borderId="37" xfId="0" applyFill="1" applyBorder="1" applyAlignment="1">
      <alignment horizontal="center"/>
    </xf>
    <xf numFmtId="0" fontId="1" fillId="12" borderId="50" xfId="0" applyFont="1" applyFill="1" applyBorder="1" applyAlignment="1">
      <alignment horizontal="center"/>
    </xf>
    <xf numFmtId="164" fontId="0" fillId="0" borderId="0" xfId="0" applyNumberFormat="1" applyAlignment="1">
      <alignment horizontal="center"/>
    </xf>
    <xf numFmtId="0" fontId="0" fillId="0" borderId="31" xfId="0" applyFill="1" applyBorder="1" applyAlignment="1">
      <alignment horizontal="center"/>
    </xf>
    <xf numFmtId="0" fontId="1" fillId="0" borderId="31" xfId="0" applyFont="1" applyFill="1" applyBorder="1" applyAlignment="1">
      <alignment horizontal="center"/>
    </xf>
    <xf numFmtId="0" fontId="0" fillId="16" borderId="51" xfId="0" applyFill="1" applyBorder="1" applyAlignment="1">
      <alignment/>
    </xf>
    <xf numFmtId="0" fontId="0" fillId="16" borderId="52" xfId="0" applyFill="1" applyBorder="1" applyAlignment="1">
      <alignment/>
    </xf>
    <xf numFmtId="0" fontId="1" fillId="16" borderId="10" xfId="0" applyFont="1" applyFill="1" applyBorder="1" applyAlignment="1">
      <alignment horizontal="left"/>
    </xf>
    <xf numFmtId="0" fontId="1" fillId="16" borderId="11" xfId="0" applyFont="1" applyFill="1" applyBorder="1" applyAlignment="1">
      <alignment horizontal="center"/>
    </xf>
    <xf numFmtId="0" fontId="0" fillId="16" borderId="11" xfId="0" applyFill="1" applyBorder="1" applyAlignment="1">
      <alignment horizontal="center"/>
    </xf>
    <xf numFmtId="0" fontId="0" fillId="16" borderId="12" xfId="0" applyFill="1" applyBorder="1" applyAlignment="1">
      <alignment/>
    </xf>
    <xf numFmtId="0" fontId="1" fillId="16" borderId="22" xfId="0" applyFont="1" applyFill="1" applyBorder="1" applyAlignment="1">
      <alignment horizontal="center"/>
    </xf>
    <xf numFmtId="0" fontId="1" fillId="16" borderId="14" xfId="0" applyFont="1" applyFill="1" applyBorder="1" applyAlignment="1">
      <alignment horizontal="center"/>
    </xf>
    <xf numFmtId="0" fontId="0" fillId="16" borderId="53" xfId="0" applyFill="1" applyBorder="1" applyAlignment="1">
      <alignment horizontal="center"/>
    </xf>
    <xf numFmtId="0" fontId="0" fillId="6" borderId="53" xfId="0" applyFill="1" applyBorder="1" applyAlignment="1">
      <alignment horizontal="center"/>
    </xf>
    <xf numFmtId="0" fontId="5" fillId="16" borderId="53" xfId="0" applyFont="1" applyFill="1" applyBorder="1" applyAlignment="1">
      <alignment horizontal="center"/>
    </xf>
    <xf numFmtId="0" fontId="5" fillId="16" borderId="54" xfId="0" applyFont="1" applyFill="1" applyBorder="1" applyAlignment="1">
      <alignment horizontal="center"/>
    </xf>
    <xf numFmtId="0" fontId="1" fillId="17" borderId="10" xfId="0" applyFont="1" applyFill="1" applyBorder="1" applyAlignment="1">
      <alignment horizontal="left"/>
    </xf>
    <xf numFmtId="0" fontId="1" fillId="17" borderId="11" xfId="0" applyFont="1" applyFill="1" applyBorder="1" applyAlignment="1">
      <alignment horizontal="center"/>
    </xf>
    <xf numFmtId="0" fontId="0" fillId="17" borderId="11" xfId="0" applyFill="1" applyBorder="1" applyAlignment="1">
      <alignment horizontal="center"/>
    </xf>
    <xf numFmtId="0" fontId="0" fillId="17" borderId="12" xfId="0" applyFill="1" applyBorder="1" applyAlignment="1">
      <alignment/>
    </xf>
    <xf numFmtId="0" fontId="0" fillId="17" borderId="55" xfId="0" applyFill="1" applyBorder="1" applyAlignment="1">
      <alignment/>
    </xf>
    <xf numFmtId="0" fontId="0" fillId="17" borderId="52" xfId="0" applyFill="1" applyBorder="1" applyAlignment="1">
      <alignment/>
    </xf>
    <xf numFmtId="0" fontId="1" fillId="17" borderId="14" xfId="0" applyFont="1" applyFill="1" applyBorder="1" applyAlignment="1">
      <alignment horizontal="center"/>
    </xf>
    <xf numFmtId="0" fontId="1" fillId="17" borderId="22" xfId="0" applyFont="1" applyFill="1" applyBorder="1" applyAlignment="1">
      <alignment horizontal="center"/>
    </xf>
    <xf numFmtId="0" fontId="0" fillId="17" borderId="53" xfId="0" applyFill="1" applyBorder="1" applyAlignment="1">
      <alignment horizontal="center"/>
    </xf>
    <xf numFmtId="0" fontId="5" fillId="17" borderId="53" xfId="0" applyFont="1" applyFill="1" applyBorder="1" applyAlignment="1">
      <alignment horizontal="center"/>
    </xf>
    <xf numFmtId="0" fontId="5" fillId="17" borderId="54" xfId="0" applyFont="1" applyFill="1" applyBorder="1" applyAlignment="1">
      <alignment horizontal="center"/>
    </xf>
    <xf numFmtId="0" fontId="1" fillId="8" borderId="11" xfId="0" applyFont="1" applyFill="1" applyBorder="1" applyAlignment="1">
      <alignment horizontal="center"/>
    </xf>
    <xf numFmtId="0" fontId="0" fillId="8" borderId="11" xfId="0" applyFill="1" applyBorder="1" applyAlignment="1">
      <alignment horizontal="center"/>
    </xf>
    <xf numFmtId="0" fontId="0" fillId="8" borderId="12" xfId="0" applyFill="1" applyBorder="1" applyAlignment="1">
      <alignment/>
    </xf>
    <xf numFmtId="0" fontId="1" fillId="8" borderId="14" xfId="0" applyFont="1" applyFill="1" applyBorder="1" applyAlignment="1">
      <alignment horizontal="center"/>
    </xf>
    <xf numFmtId="0" fontId="1" fillId="8" borderId="22" xfId="0" applyFont="1" applyFill="1" applyBorder="1" applyAlignment="1">
      <alignment horizontal="center"/>
    </xf>
    <xf numFmtId="0" fontId="5" fillId="8" borderId="53" xfId="0" applyFont="1" applyFill="1" applyBorder="1" applyAlignment="1">
      <alignment horizontal="center"/>
    </xf>
    <xf numFmtId="0" fontId="5" fillId="8" borderId="54" xfId="0" applyFont="1" applyFill="1" applyBorder="1" applyAlignment="1">
      <alignment horizontal="center"/>
    </xf>
    <xf numFmtId="0" fontId="1" fillId="8" borderId="10" xfId="0" applyFont="1" applyFill="1" applyBorder="1" applyAlignment="1">
      <alignment horizontal="left"/>
    </xf>
    <xf numFmtId="0" fontId="0" fillId="8" borderId="51" xfId="0" applyFill="1" applyBorder="1" applyAlignment="1">
      <alignment/>
    </xf>
    <xf numFmtId="0" fontId="0" fillId="8" borderId="52" xfId="0" applyFill="1" applyBorder="1" applyAlignment="1">
      <alignment/>
    </xf>
    <xf numFmtId="0" fontId="0" fillId="14" borderId="51" xfId="0" applyFill="1" applyBorder="1" applyAlignment="1">
      <alignment/>
    </xf>
    <xf numFmtId="0" fontId="0" fillId="14" borderId="52" xfId="0" applyFill="1" applyBorder="1" applyAlignment="1">
      <alignment/>
    </xf>
    <xf numFmtId="0" fontId="0" fillId="14" borderId="53" xfId="0" applyFill="1" applyBorder="1" applyAlignment="1">
      <alignment horizontal="center"/>
    </xf>
    <xf numFmtId="0" fontId="1" fillId="14" borderId="16" xfId="0" applyFont="1" applyFill="1" applyBorder="1" applyAlignment="1">
      <alignment horizontal="center"/>
    </xf>
    <xf numFmtId="0" fontId="1" fillId="14" borderId="20" xfId="0" applyFont="1" applyFill="1" applyBorder="1" applyAlignment="1">
      <alignment horizontal="center"/>
    </xf>
    <xf numFmtId="0" fontId="1" fillId="14" borderId="10" xfId="0" applyFont="1" applyFill="1" applyBorder="1" applyAlignment="1">
      <alignment horizontal="left"/>
    </xf>
    <xf numFmtId="0" fontId="1" fillId="14" borderId="11" xfId="0" applyFont="1" applyFill="1" applyBorder="1" applyAlignment="1">
      <alignment horizontal="center"/>
    </xf>
    <xf numFmtId="0" fontId="0" fillId="14" borderId="11" xfId="0" applyFill="1" applyBorder="1" applyAlignment="1">
      <alignment horizontal="center"/>
    </xf>
    <xf numFmtId="0" fontId="0" fillId="14" borderId="12" xfId="0" applyFill="1" applyBorder="1" applyAlignment="1">
      <alignment/>
    </xf>
    <xf numFmtId="0" fontId="5" fillId="14" borderId="53" xfId="0" applyFont="1" applyFill="1" applyBorder="1" applyAlignment="1">
      <alignment horizontal="center"/>
    </xf>
    <xf numFmtId="0" fontId="5" fillId="14" borderId="54" xfId="0" applyFont="1" applyFill="1" applyBorder="1" applyAlignment="1">
      <alignment horizontal="center"/>
    </xf>
    <xf numFmtId="0" fontId="0" fillId="7" borderId="51" xfId="0" applyFill="1" applyBorder="1" applyAlignment="1">
      <alignment/>
    </xf>
    <xf numFmtId="0" fontId="0" fillId="7" borderId="52" xfId="0" applyFill="1" applyBorder="1" applyAlignment="1">
      <alignment/>
    </xf>
    <xf numFmtId="0" fontId="0" fillId="18" borderId="51" xfId="0" applyFill="1" applyBorder="1" applyAlignment="1">
      <alignment/>
    </xf>
    <xf numFmtId="0" fontId="0" fillId="18" borderId="52" xfId="0" applyFill="1" applyBorder="1" applyAlignment="1">
      <alignment/>
    </xf>
    <xf numFmtId="0" fontId="0" fillId="19" borderId="51" xfId="0" applyFill="1" applyBorder="1" applyAlignment="1">
      <alignment/>
    </xf>
    <xf numFmtId="0" fontId="0" fillId="19" borderId="52" xfId="0" applyFill="1" applyBorder="1" applyAlignment="1">
      <alignment/>
    </xf>
    <xf numFmtId="0" fontId="0" fillId="11" borderId="51" xfId="0" applyFill="1" applyBorder="1" applyAlignment="1">
      <alignment/>
    </xf>
    <xf numFmtId="0" fontId="0" fillId="11" borderId="52" xfId="0" applyFill="1" applyBorder="1" applyAlignment="1">
      <alignment/>
    </xf>
    <xf numFmtId="0" fontId="0" fillId="20" borderId="51" xfId="0" applyFill="1" applyBorder="1" applyAlignment="1">
      <alignment/>
    </xf>
    <xf numFmtId="0" fontId="0" fillId="20" borderId="52" xfId="0" applyFill="1" applyBorder="1" applyAlignment="1">
      <alignment/>
    </xf>
    <xf numFmtId="0" fontId="1" fillId="18" borderId="10" xfId="0" applyFont="1" applyFill="1" applyBorder="1" applyAlignment="1">
      <alignment horizontal="left"/>
    </xf>
    <xf numFmtId="0" fontId="1" fillId="18" borderId="11" xfId="0" applyFont="1" applyFill="1" applyBorder="1" applyAlignment="1">
      <alignment horizontal="center"/>
    </xf>
    <xf numFmtId="0" fontId="1" fillId="21" borderId="11" xfId="0" applyFont="1" applyFill="1" applyBorder="1" applyAlignment="1">
      <alignment horizontal="center"/>
    </xf>
    <xf numFmtId="0" fontId="0" fillId="18" borderId="11" xfId="0" applyFill="1" applyBorder="1" applyAlignment="1">
      <alignment horizontal="center"/>
    </xf>
    <xf numFmtId="0" fontId="0" fillId="18" borderId="12" xfId="0" applyFill="1" applyBorder="1" applyAlignment="1">
      <alignment/>
    </xf>
    <xf numFmtId="0" fontId="1" fillId="18" borderId="14" xfId="0" applyFont="1" applyFill="1" applyBorder="1" applyAlignment="1">
      <alignment horizontal="center"/>
    </xf>
    <xf numFmtId="0" fontId="1" fillId="21" borderId="14" xfId="0" applyFont="1" applyFill="1" applyBorder="1" applyAlignment="1">
      <alignment horizontal="center"/>
    </xf>
    <xf numFmtId="0" fontId="1" fillId="18" borderId="22" xfId="0" applyFont="1" applyFill="1" applyBorder="1" applyAlignment="1">
      <alignment horizontal="center"/>
    </xf>
    <xf numFmtId="0" fontId="0" fillId="21" borderId="53" xfId="0" applyFill="1" applyBorder="1" applyAlignment="1">
      <alignment horizontal="center"/>
    </xf>
    <xf numFmtId="0" fontId="5" fillId="21" borderId="53" xfId="0" applyFont="1" applyFill="1" applyBorder="1" applyAlignment="1">
      <alignment horizontal="center"/>
    </xf>
    <xf numFmtId="0" fontId="5" fillId="18" borderId="53" xfId="0" applyFont="1" applyFill="1" applyBorder="1" applyAlignment="1">
      <alignment horizontal="center"/>
    </xf>
    <xf numFmtId="0" fontId="5" fillId="18" borderId="54" xfId="0" applyFont="1" applyFill="1" applyBorder="1" applyAlignment="1">
      <alignment horizontal="center"/>
    </xf>
    <xf numFmtId="0" fontId="0" fillId="22" borderId="51" xfId="0" applyFill="1" applyBorder="1" applyAlignment="1">
      <alignment/>
    </xf>
    <xf numFmtId="0" fontId="0" fillId="22" borderId="52" xfId="0" applyFill="1" applyBorder="1" applyAlignment="1">
      <alignment/>
    </xf>
    <xf numFmtId="0" fontId="1" fillId="7" borderId="10" xfId="0" applyFont="1" applyFill="1" applyBorder="1" applyAlignment="1">
      <alignment horizontal="left"/>
    </xf>
    <xf numFmtId="0" fontId="1" fillId="7" borderId="11" xfId="0" applyFont="1" applyFill="1" applyBorder="1" applyAlignment="1">
      <alignment horizontal="center"/>
    </xf>
    <xf numFmtId="0" fontId="0" fillId="7" borderId="11" xfId="0" applyFill="1" applyBorder="1" applyAlignment="1">
      <alignment horizontal="center"/>
    </xf>
    <xf numFmtId="0" fontId="0" fillId="7" borderId="12" xfId="0" applyFill="1" applyBorder="1" applyAlignment="1">
      <alignment/>
    </xf>
    <xf numFmtId="0" fontId="1" fillId="19" borderId="10" xfId="0" applyFont="1" applyFill="1" applyBorder="1" applyAlignment="1">
      <alignment horizontal="left"/>
    </xf>
    <xf numFmtId="0" fontId="1" fillId="19" borderId="11" xfId="0" applyFont="1" applyFill="1" applyBorder="1" applyAlignment="1">
      <alignment horizontal="center"/>
    </xf>
    <xf numFmtId="0" fontId="0" fillId="19" borderId="11" xfId="0" applyFill="1" applyBorder="1" applyAlignment="1">
      <alignment horizontal="center"/>
    </xf>
    <xf numFmtId="0" fontId="0" fillId="19" borderId="12" xfId="0" applyFill="1" applyBorder="1" applyAlignment="1">
      <alignment/>
    </xf>
    <xf numFmtId="0" fontId="1" fillId="20" borderId="10" xfId="0" applyFont="1" applyFill="1" applyBorder="1" applyAlignment="1">
      <alignment horizontal="left"/>
    </xf>
    <xf numFmtId="0" fontId="1" fillId="20" borderId="11" xfId="0" applyFont="1" applyFill="1" applyBorder="1" applyAlignment="1">
      <alignment horizontal="center"/>
    </xf>
    <xf numFmtId="0" fontId="0" fillId="20" borderId="11" xfId="0" applyFill="1" applyBorder="1" applyAlignment="1">
      <alignment horizontal="center"/>
    </xf>
    <xf numFmtId="0" fontId="0" fillId="20" borderId="12" xfId="0" applyFill="1" applyBorder="1" applyAlignment="1">
      <alignment/>
    </xf>
    <xf numFmtId="0" fontId="1" fillId="11" borderId="10" xfId="0" applyFont="1" applyFill="1" applyBorder="1" applyAlignment="1">
      <alignment horizontal="left"/>
    </xf>
    <xf numFmtId="0" fontId="1" fillId="11" borderId="11" xfId="0" applyFont="1" applyFill="1" applyBorder="1" applyAlignment="1">
      <alignment horizontal="center"/>
    </xf>
    <xf numFmtId="0" fontId="0" fillId="11" borderId="11" xfId="0" applyFill="1" applyBorder="1" applyAlignment="1">
      <alignment horizontal="center"/>
    </xf>
    <xf numFmtId="0" fontId="0" fillId="11" borderId="12" xfId="0" applyFill="1" applyBorder="1" applyAlignment="1">
      <alignment/>
    </xf>
    <xf numFmtId="0" fontId="1" fillId="22" borderId="10" xfId="0" applyFont="1" applyFill="1" applyBorder="1" applyAlignment="1">
      <alignment horizontal="left"/>
    </xf>
    <xf numFmtId="0" fontId="1" fillId="22" borderId="11" xfId="0" applyFont="1" applyFill="1" applyBorder="1" applyAlignment="1">
      <alignment horizontal="center"/>
    </xf>
    <xf numFmtId="0" fontId="0" fillId="22" borderId="11" xfId="0" applyFill="1" applyBorder="1" applyAlignment="1">
      <alignment horizontal="center"/>
    </xf>
    <xf numFmtId="0" fontId="0" fillId="22" borderId="12" xfId="0" applyFill="1" applyBorder="1" applyAlignment="1">
      <alignment/>
    </xf>
    <xf numFmtId="0" fontId="1" fillId="7" borderId="14" xfId="0" applyFont="1" applyFill="1" applyBorder="1" applyAlignment="1">
      <alignment horizontal="center"/>
    </xf>
    <xf numFmtId="0" fontId="1" fillId="7" borderId="22" xfId="0" applyFont="1" applyFill="1" applyBorder="1" applyAlignment="1">
      <alignment horizontal="center"/>
    </xf>
    <xf numFmtId="0" fontId="0" fillId="7" borderId="53" xfId="0" applyFill="1" applyBorder="1" applyAlignment="1">
      <alignment horizontal="center"/>
    </xf>
    <xf numFmtId="0" fontId="5" fillId="7" borderId="53" xfId="0" applyFont="1" applyFill="1" applyBorder="1" applyAlignment="1">
      <alignment horizontal="center"/>
    </xf>
    <xf numFmtId="0" fontId="5" fillId="7" borderId="54" xfId="0" applyFont="1" applyFill="1" applyBorder="1" applyAlignment="1">
      <alignment horizontal="center"/>
    </xf>
    <xf numFmtId="0" fontId="1" fillId="19" borderId="14" xfId="0" applyFont="1" applyFill="1" applyBorder="1" applyAlignment="1">
      <alignment horizontal="center"/>
    </xf>
    <xf numFmtId="0" fontId="1" fillId="19" borderId="22" xfId="0" applyFont="1" applyFill="1" applyBorder="1" applyAlignment="1">
      <alignment horizontal="center"/>
    </xf>
    <xf numFmtId="0" fontId="0" fillId="19" borderId="53" xfId="0" applyFill="1" applyBorder="1" applyAlignment="1">
      <alignment horizontal="center"/>
    </xf>
    <xf numFmtId="0" fontId="5" fillId="19" borderId="53" xfId="0" applyFont="1" applyFill="1" applyBorder="1" applyAlignment="1">
      <alignment horizontal="center"/>
    </xf>
    <xf numFmtId="0" fontId="5" fillId="19" borderId="54" xfId="0" applyFont="1" applyFill="1" applyBorder="1" applyAlignment="1">
      <alignment horizontal="center"/>
    </xf>
    <xf numFmtId="0" fontId="1" fillId="20" borderId="14" xfId="0" applyFont="1" applyFill="1" applyBorder="1" applyAlignment="1">
      <alignment horizontal="center"/>
    </xf>
    <xf numFmtId="0" fontId="1" fillId="20" borderId="22" xfId="0" applyFont="1" applyFill="1" applyBorder="1" applyAlignment="1">
      <alignment horizontal="center"/>
    </xf>
    <xf numFmtId="0" fontId="0" fillId="20" borderId="53" xfId="0" applyFill="1" applyBorder="1" applyAlignment="1">
      <alignment horizontal="center"/>
    </xf>
    <xf numFmtId="0" fontId="5" fillId="20" borderId="53" xfId="0" applyFont="1" applyFill="1" applyBorder="1" applyAlignment="1">
      <alignment horizontal="center"/>
    </xf>
    <xf numFmtId="0" fontId="5" fillId="20" borderId="54" xfId="0" applyFont="1" applyFill="1" applyBorder="1" applyAlignment="1">
      <alignment horizontal="center"/>
    </xf>
    <xf numFmtId="0" fontId="1" fillId="11" borderId="14" xfId="0" applyFont="1" applyFill="1" applyBorder="1" applyAlignment="1">
      <alignment horizontal="center"/>
    </xf>
    <xf numFmtId="0" fontId="1" fillId="11" borderId="22" xfId="0" applyFont="1" applyFill="1" applyBorder="1" applyAlignment="1">
      <alignment horizontal="center"/>
    </xf>
    <xf numFmtId="0" fontId="0" fillId="11" borderId="53" xfId="0" applyFill="1" applyBorder="1" applyAlignment="1">
      <alignment horizontal="center"/>
    </xf>
    <xf numFmtId="0" fontId="5" fillId="11" borderId="53" xfId="0" applyFont="1" applyFill="1" applyBorder="1" applyAlignment="1">
      <alignment horizontal="center"/>
    </xf>
    <xf numFmtId="0" fontId="5" fillId="11" borderId="54" xfId="0" applyFont="1" applyFill="1" applyBorder="1" applyAlignment="1">
      <alignment horizontal="center"/>
    </xf>
    <xf numFmtId="0" fontId="0" fillId="8" borderId="53" xfId="0" applyFill="1" applyBorder="1" applyAlignment="1">
      <alignment horizontal="center"/>
    </xf>
    <xf numFmtId="0" fontId="1" fillId="22" borderId="14" xfId="0" applyFont="1" applyFill="1" applyBorder="1" applyAlignment="1">
      <alignment horizontal="center"/>
    </xf>
    <xf numFmtId="0" fontId="1" fillId="22" borderId="22" xfId="0" applyFont="1" applyFill="1" applyBorder="1" applyAlignment="1">
      <alignment horizontal="center"/>
    </xf>
    <xf numFmtId="0" fontId="0" fillId="22" borderId="53" xfId="0" applyFill="1" applyBorder="1" applyAlignment="1">
      <alignment horizontal="center"/>
    </xf>
    <xf numFmtId="0" fontId="5" fillId="22" borderId="53" xfId="0" applyFont="1" applyFill="1" applyBorder="1" applyAlignment="1">
      <alignment horizontal="center"/>
    </xf>
    <xf numFmtId="0" fontId="5" fillId="22" borderId="54" xfId="0" applyFont="1" applyFill="1" applyBorder="1" applyAlignment="1">
      <alignment horizontal="center"/>
    </xf>
    <xf numFmtId="0" fontId="6" fillId="23" borderId="51" xfId="0" applyFont="1" applyFill="1" applyBorder="1" applyAlignment="1">
      <alignment horizontal="center"/>
    </xf>
    <xf numFmtId="164" fontId="7" fillId="23" borderId="5" xfId="0" applyNumberFormat="1" applyFont="1" applyFill="1" applyBorder="1" applyAlignment="1">
      <alignment horizontal="center"/>
    </xf>
    <xf numFmtId="0" fontId="6" fillId="23" borderId="52" xfId="0" applyFont="1" applyFill="1" applyBorder="1" applyAlignment="1">
      <alignment horizontal="center"/>
    </xf>
    <xf numFmtId="164" fontId="7" fillId="23" borderId="7" xfId="0" applyNumberFormat="1" applyFont="1" applyFill="1" applyBorder="1" applyAlignment="1">
      <alignment horizontal="center"/>
    </xf>
    <xf numFmtId="0" fontId="0" fillId="0" borderId="0" xfId="0" applyAlignment="1">
      <alignment horizontal="center" vertical="center"/>
    </xf>
    <xf numFmtId="0" fontId="11" fillId="0" borderId="0" xfId="0" applyFont="1" applyAlignment="1">
      <alignment horizontal="center"/>
    </xf>
    <xf numFmtId="0" fontId="1" fillId="12" borderId="56" xfId="0" applyFont="1" applyFill="1" applyBorder="1" applyAlignment="1">
      <alignment horizontal="center"/>
    </xf>
    <xf numFmtId="0" fontId="1" fillId="12" borderId="57" xfId="0" applyFont="1" applyFill="1" applyBorder="1" applyAlignment="1">
      <alignment horizontal="center"/>
    </xf>
    <xf numFmtId="0" fontId="0" fillId="9" borderId="51" xfId="0" applyFill="1" applyBorder="1" applyAlignment="1">
      <alignment horizontal="center"/>
    </xf>
    <xf numFmtId="0" fontId="0" fillId="9" borderId="5" xfId="0" applyFill="1" applyBorder="1" applyAlignment="1">
      <alignment horizontal="center"/>
    </xf>
    <xf numFmtId="0" fontId="0" fillId="0" borderId="55" xfId="0" applyFill="1" applyBorder="1" applyAlignment="1">
      <alignment horizontal="center"/>
    </xf>
    <xf numFmtId="0" fontId="0" fillId="0" borderId="58" xfId="0" applyFill="1" applyBorder="1" applyAlignment="1">
      <alignment horizontal="center"/>
    </xf>
    <xf numFmtId="0" fontId="3" fillId="12" borderId="59" xfId="0" applyFont="1" applyFill="1" applyBorder="1" applyAlignment="1">
      <alignment horizontal="center"/>
    </xf>
    <xf numFmtId="0" fontId="8" fillId="0" borderId="6" xfId="0" applyFont="1" applyBorder="1" applyAlignment="1">
      <alignment horizontal="left"/>
    </xf>
    <xf numFmtId="0" fontId="6" fillId="24" borderId="55" xfId="0" applyFont="1" applyFill="1" applyBorder="1" applyAlignment="1">
      <alignment horizontal="center"/>
    </xf>
    <xf numFmtId="0" fontId="7" fillId="24" borderId="60" xfId="0" applyFont="1" applyFill="1" applyBorder="1" applyAlignment="1">
      <alignment horizontal="center"/>
    </xf>
    <xf numFmtId="0" fontId="3" fillId="12" borderId="2"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2" xfId="0" applyFont="1" applyFill="1" applyBorder="1" applyAlignment="1">
      <alignment horizontal="center"/>
    </xf>
    <xf numFmtId="0" fontId="3" fillId="3" borderId="17" xfId="0" applyFont="1" applyFill="1" applyBorder="1" applyAlignment="1">
      <alignment horizontal="center"/>
    </xf>
    <xf numFmtId="0" fontId="3" fillId="3" borderId="18" xfId="0" applyFont="1" applyFill="1" applyBorder="1" applyAlignment="1">
      <alignment horizontal="center"/>
    </xf>
    <xf numFmtId="164" fontId="3" fillId="2" borderId="17" xfId="0" applyNumberFormat="1" applyFont="1" applyFill="1" applyBorder="1" applyAlignment="1">
      <alignment horizontal="center"/>
    </xf>
    <xf numFmtId="164" fontId="3" fillId="2" borderId="18" xfId="0" applyNumberFormat="1" applyFont="1" applyFill="1" applyBorder="1" applyAlignment="1">
      <alignment horizontal="center"/>
    </xf>
    <xf numFmtId="0" fontId="3" fillId="12" borderId="16" xfId="0" applyFont="1" applyFill="1" applyBorder="1" applyAlignment="1">
      <alignment horizontal="center"/>
    </xf>
    <xf numFmtId="0" fontId="3" fillId="14" borderId="25" xfId="0" applyFont="1" applyFill="1" applyBorder="1" applyAlignment="1">
      <alignment horizontal="center"/>
    </xf>
    <xf numFmtId="0" fontId="3" fillId="14" borderId="4" xfId="0" applyFont="1" applyFill="1" applyBorder="1" applyAlignment="1">
      <alignment horizontal="center"/>
    </xf>
    <xf numFmtId="0" fontId="3" fillId="14" borderId="1" xfId="0" applyFont="1" applyFill="1" applyBorder="1" applyAlignment="1">
      <alignment horizontal="center"/>
    </xf>
    <xf numFmtId="0" fontId="3" fillId="14" borderId="9" xfId="0" applyFont="1" applyFill="1" applyBorder="1" applyAlignment="1">
      <alignment horizontal="center"/>
    </xf>
    <xf numFmtId="164" fontId="3" fillId="12" borderId="2" xfId="0" applyNumberFormat="1" applyFont="1" applyFill="1" applyBorder="1" applyAlignment="1">
      <alignment horizontal="center"/>
    </xf>
    <xf numFmtId="164" fontId="3" fillId="12" borderId="16" xfId="0" applyNumberFormat="1" applyFont="1" applyFill="1" applyBorder="1" applyAlignment="1">
      <alignment horizontal="center"/>
    </xf>
    <xf numFmtId="0" fontId="3" fillId="12" borderId="17" xfId="0" applyFont="1" applyFill="1" applyBorder="1" applyAlignment="1">
      <alignment horizontal="center"/>
    </xf>
    <xf numFmtId="0" fontId="3" fillId="12" borderId="18" xfId="0" applyFont="1" applyFill="1" applyBorder="1" applyAlignment="1">
      <alignment horizontal="center"/>
    </xf>
    <xf numFmtId="0" fontId="3" fillId="3" borderId="2" xfId="0" applyFont="1" applyFill="1" applyBorder="1" applyAlignment="1">
      <alignment horizontal="center"/>
    </xf>
    <xf numFmtId="0" fontId="3" fillId="3" borderId="16" xfId="0" applyFont="1" applyFill="1" applyBorder="1" applyAlignment="1">
      <alignment horizontal="center"/>
    </xf>
    <xf numFmtId="0" fontId="3" fillId="2" borderId="16" xfId="0" applyFont="1" applyFill="1" applyBorder="1" applyAlignment="1">
      <alignment horizontal="center"/>
    </xf>
    <xf numFmtId="0" fontId="3" fillId="3" borderId="26" xfId="0" applyFont="1" applyFill="1" applyBorder="1" applyAlignment="1">
      <alignment horizontal="center"/>
    </xf>
    <xf numFmtId="0" fontId="3" fillId="2" borderId="26" xfId="0" applyFont="1" applyFill="1" applyBorder="1" applyAlignment="1">
      <alignment horizontal="center"/>
    </xf>
    <xf numFmtId="0" fontId="3" fillId="12" borderId="61" xfId="0" applyFont="1" applyFill="1" applyBorder="1" applyAlignment="1">
      <alignment horizontal="center"/>
    </xf>
    <xf numFmtId="0" fontId="3" fillId="12" borderId="51" xfId="0" applyFont="1" applyFill="1" applyBorder="1" applyAlignment="1">
      <alignment horizontal="center"/>
    </xf>
    <xf numFmtId="0" fontId="3" fillId="12" borderId="62" xfId="0" applyFont="1" applyFill="1" applyBorder="1" applyAlignment="1">
      <alignment horizontal="center"/>
    </xf>
    <xf numFmtId="0" fontId="0" fillId="9" borderId="51" xfId="0" applyFill="1" applyBorder="1" applyAlignment="1">
      <alignment horizontal="center"/>
    </xf>
    <xf numFmtId="0" fontId="0" fillId="9" borderId="5" xfId="0" applyFill="1" applyBorder="1" applyAlignment="1">
      <alignment horizontal="center"/>
    </xf>
    <xf numFmtId="0" fontId="13" fillId="9" borderId="55" xfId="0" applyFont="1" applyFill="1" applyBorder="1" applyAlignment="1">
      <alignment horizontal="center" vertical="center" wrapText="1"/>
    </xf>
    <xf numFmtId="0" fontId="13" fillId="9" borderId="60" xfId="0" applyFont="1" applyFill="1" applyBorder="1" applyAlignment="1">
      <alignment horizontal="center" vertical="center" wrapText="1"/>
    </xf>
    <xf numFmtId="0" fontId="13" fillId="9" borderId="51"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2" fillId="0" borderId="51" xfId="0" applyFont="1" applyBorder="1" applyAlignment="1">
      <alignment horizontal="center" vertical="center" wrapText="1"/>
    </xf>
    <xf numFmtId="0" fontId="12" fillId="0" borderId="5" xfId="0" applyFont="1" applyBorder="1" applyAlignment="1">
      <alignment horizontal="center" vertical="center" wrapText="1"/>
    </xf>
    <xf numFmtId="0" fontId="9" fillId="0" borderId="0" xfId="20" applyAlignment="1">
      <alignment horizontal="center" vertical="center"/>
    </xf>
    <xf numFmtId="0" fontId="1" fillId="0" borderId="0" xfId="0" applyFont="1" applyAlignment="1">
      <alignment horizontal="center" vertical="center"/>
    </xf>
    <xf numFmtId="0" fontId="7" fillId="24" borderId="51" xfId="0" applyFont="1" applyFill="1" applyBorder="1" applyAlignment="1">
      <alignment horizontal="center"/>
    </xf>
    <xf numFmtId="0" fontId="7" fillId="24" borderId="5" xfId="0" applyFont="1" applyFill="1" applyBorder="1" applyAlignment="1">
      <alignment horizontal="center"/>
    </xf>
    <xf numFmtId="0" fontId="1" fillId="25" borderId="51" xfId="0" applyFont="1" applyFill="1" applyBorder="1" applyAlignment="1">
      <alignment horizontal="center"/>
    </xf>
    <xf numFmtId="0" fontId="0" fillId="25" borderId="5" xfId="0" applyFill="1" applyBorder="1" applyAlignment="1">
      <alignment horizontal="center"/>
    </xf>
    <xf numFmtId="0" fontId="1" fillId="26" borderId="51" xfId="0" applyFont="1" applyFill="1" applyBorder="1" applyAlignment="1">
      <alignment horizontal="center"/>
    </xf>
    <xf numFmtId="0" fontId="1" fillId="26" borderId="5" xfId="0" applyFont="1" applyFill="1" applyBorder="1" applyAlignment="1">
      <alignment horizontal="center"/>
    </xf>
    <xf numFmtId="0" fontId="1" fillId="0" borderId="0" xfId="0" applyFont="1" applyAlignment="1">
      <alignment horizontal="center"/>
    </xf>
    <xf numFmtId="0" fontId="0" fillId="0" borderId="0" xfId="0" applyAlignment="1">
      <alignment horizontal="center"/>
    </xf>
    <xf numFmtId="0" fontId="14" fillId="0" borderId="55" xfId="0" applyFont="1" applyFill="1" applyBorder="1" applyAlignment="1">
      <alignment horizontal="center" wrapText="1"/>
    </xf>
    <xf numFmtId="0" fontId="14" fillId="0" borderId="60" xfId="0" applyFont="1" applyBorder="1" applyAlignment="1">
      <alignment horizontal="center" wrapText="1"/>
    </xf>
    <xf numFmtId="0" fontId="14" fillId="0" borderId="51" xfId="0" applyFont="1" applyBorder="1" applyAlignment="1">
      <alignment horizontal="center" wrapText="1"/>
    </xf>
    <xf numFmtId="0" fontId="14" fillId="0" borderId="5" xfId="0" applyFont="1" applyBorder="1" applyAlignment="1">
      <alignment horizontal="center" wrapText="1"/>
    </xf>
    <xf numFmtId="0" fontId="14" fillId="0" borderId="51" xfId="0" applyFont="1" applyBorder="1" applyAlignment="1">
      <alignment horizontal="center"/>
    </xf>
    <xf numFmtId="0" fontId="14" fillId="0" borderId="5" xfId="0" applyFont="1" applyBorder="1" applyAlignment="1">
      <alignment horizontal="center"/>
    </xf>
    <xf numFmtId="0" fontId="14" fillId="0" borderId="51" xfId="0" applyFont="1" applyBorder="1" applyAlignment="1">
      <alignment/>
    </xf>
    <xf numFmtId="0" fontId="14" fillId="0" borderId="5" xfId="0" applyFont="1" applyBorder="1" applyAlignment="1">
      <alignment/>
    </xf>
    <xf numFmtId="0" fontId="14" fillId="0" borderId="52" xfId="0" applyFont="1" applyBorder="1" applyAlignment="1">
      <alignment/>
    </xf>
    <xf numFmtId="0" fontId="14" fillId="0" borderId="7"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lying_firetiger@yahoo.com"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M63"/>
  <sheetViews>
    <sheetView tabSelected="1" workbookViewId="0" topLeftCell="A1">
      <selection activeCell="K15" sqref="K15"/>
    </sheetView>
  </sheetViews>
  <sheetFormatPr defaultColWidth="9.140625" defaultRowHeight="12.75"/>
  <cols>
    <col min="1" max="1" width="14.57421875" style="0" customWidth="1"/>
    <col min="2" max="2" width="13.00390625" style="0" customWidth="1"/>
    <col min="3" max="5" width="14.7109375" style="0" customWidth="1"/>
    <col min="6" max="6" width="13.00390625" style="0" bestFit="1" customWidth="1"/>
    <col min="7" max="7" width="11.28125" style="0" customWidth="1"/>
    <col min="8" max="8" width="14.421875" style="0" customWidth="1"/>
    <col min="9" max="9" width="14.7109375" style="3" customWidth="1"/>
    <col min="10" max="10" width="9.140625" style="3" customWidth="1"/>
  </cols>
  <sheetData>
    <row r="1" spans="1:10" s="1" customFormat="1" ht="30" customHeight="1" thickBot="1">
      <c r="A1" s="292" t="s">
        <v>215</v>
      </c>
      <c r="B1" s="292"/>
      <c r="C1" s="292"/>
      <c r="D1" s="292"/>
      <c r="E1" s="292"/>
      <c r="F1" s="292"/>
      <c r="G1" s="292"/>
      <c r="H1" s="292"/>
      <c r="I1" s="328" t="s">
        <v>219</v>
      </c>
      <c r="J1" s="329"/>
    </row>
    <row r="2" spans="1:10" s="1" customFormat="1" ht="15" customHeight="1" thickBot="1">
      <c r="A2" s="17" t="s">
        <v>21</v>
      </c>
      <c r="B2" s="18"/>
      <c r="C2" s="18"/>
      <c r="D2" s="18"/>
      <c r="E2" s="18"/>
      <c r="F2" s="18"/>
      <c r="G2" s="18"/>
      <c r="H2" s="19"/>
      <c r="I2" s="284" t="s">
        <v>272</v>
      </c>
      <c r="J2" s="284" t="s">
        <v>276</v>
      </c>
    </row>
    <row r="3" spans="1:10" ht="12.75">
      <c r="A3" s="20" t="s">
        <v>0</v>
      </c>
      <c r="B3" s="21" t="s">
        <v>1</v>
      </c>
      <c r="C3" s="22" t="s">
        <v>2</v>
      </c>
      <c r="D3" s="21" t="s">
        <v>3</v>
      </c>
      <c r="E3" s="22" t="s">
        <v>4</v>
      </c>
      <c r="F3" s="48" t="s">
        <v>94</v>
      </c>
      <c r="G3" s="10"/>
      <c r="H3" s="11"/>
      <c r="I3" s="293" t="s">
        <v>175</v>
      </c>
      <c r="J3" s="294"/>
    </row>
    <row r="4" spans="1:10" ht="12.75" customHeight="1">
      <c r="A4" s="6"/>
      <c r="B4" s="7"/>
      <c r="C4" s="299">
        <v>1</v>
      </c>
      <c r="D4" s="312">
        <v>10</v>
      </c>
      <c r="E4" s="299">
        <v>10</v>
      </c>
      <c r="F4" s="7"/>
      <c r="G4" s="10"/>
      <c r="H4" s="11"/>
      <c r="I4" s="330" t="s">
        <v>216</v>
      </c>
      <c r="J4" s="331"/>
    </row>
    <row r="5" spans="1:10" ht="12.75" customHeight="1">
      <c r="A5" s="6"/>
      <c r="B5" s="7"/>
      <c r="C5" s="299"/>
      <c r="D5" s="312"/>
      <c r="E5" s="299"/>
      <c r="F5" s="7"/>
      <c r="G5" s="10"/>
      <c r="H5" s="11"/>
      <c r="I5" s="332" t="s">
        <v>170</v>
      </c>
      <c r="J5" s="333"/>
    </row>
    <row r="6" spans="1:10" ht="12.75">
      <c r="A6" s="6"/>
      <c r="B6" s="7"/>
      <c r="C6" s="50" t="s">
        <v>93</v>
      </c>
      <c r="D6" s="312">
        <f>Calculations!B6</f>
        <v>0</v>
      </c>
      <c r="E6" s="299">
        <f>Calculations!B8</f>
        <v>0</v>
      </c>
      <c r="F6" s="7"/>
      <c r="G6" s="10"/>
      <c r="H6" s="11"/>
      <c r="I6" s="279" t="s">
        <v>118</v>
      </c>
      <c r="J6" s="280">
        <f>Calculations!AE26</f>
        <v>1.7148451058337637</v>
      </c>
    </row>
    <row r="7" spans="1:10" ht="12.75">
      <c r="A7" s="6"/>
      <c r="B7" s="7"/>
      <c r="C7" s="315">
        <v>30</v>
      </c>
      <c r="D7" s="313"/>
      <c r="E7" s="300"/>
      <c r="F7" s="7"/>
      <c r="G7" s="10"/>
      <c r="H7" s="11"/>
      <c r="I7" s="279" t="s">
        <v>119</v>
      </c>
      <c r="J7" s="280" t="str">
        <f>IF(OR(Calculations!K6,Calculations!K9),Calculations!AE27,"N/A")</f>
        <v>N/A</v>
      </c>
    </row>
    <row r="8" spans="1:10" ht="12.75">
      <c r="A8" s="6"/>
      <c r="B8" s="7"/>
      <c r="C8" s="313"/>
      <c r="D8" s="10"/>
      <c r="E8" s="14"/>
      <c r="F8" s="7"/>
      <c r="G8" s="10"/>
      <c r="H8" s="11"/>
      <c r="I8" s="279" t="s">
        <v>120</v>
      </c>
      <c r="J8" s="280" t="str">
        <f>IF(OR(Calculations!K2,Calculations!K3,Calculations!K4,Calculations!K5,Calculations!K7,Calculations!K8,Calculations!K10,Calculations!K11,Calculations!K12,Calculations!K13),Calculations!AE28,"N/A")</f>
        <v>N/A</v>
      </c>
    </row>
    <row r="9" spans="1:10" ht="12.75">
      <c r="A9" s="9"/>
      <c r="B9" s="7"/>
      <c r="C9" s="10"/>
      <c r="D9" s="10"/>
      <c r="E9" s="10"/>
      <c r="F9" s="7"/>
      <c r="G9" s="10"/>
      <c r="H9" s="11"/>
      <c r="I9" s="279" t="s">
        <v>123</v>
      </c>
      <c r="J9" s="280" t="str">
        <f>IF(Calculations!K14,Calculations!AE29,"N/A")</f>
        <v>N/A</v>
      </c>
    </row>
    <row r="10" spans="1:10" ht="12.75">
      <c r="A10" s="15"/>
      <c r="B10" s="7"/>
      <c r="C10" s="10"/>
      <c r="D10" s="10"/>
      <c r="E10" s="10"/>
      <c r="F10" s="49"/>
      <c r="G10" s="10"/>
      <c r="H10" s="11"/>
      <c r="I10" s="334" t="s">
        <v>176</v>
      </c>
      <c r="J10" s="335"/>
    </row>
    <row r="11" spans="1:10" ht="13.5" thickBot="1">
      <c r="A11" s="16"/>
      <c r="B11" s="8"/>
      <c r="C11" s="10"/>
      <c r="D11" s="10"/>
      <c r="E11" s="12"/>
      <c r="F11" s="12"/>
      <c r="G11" s="12"/>
      <c r="H11" s="13"/>
      <c r="I11" s="279" t="s">
        <v>118</v>
      </c>
      <c r="J11" s="280">
        <f>Calculations!AC43</f>
        <v>2.590142266165414</v>
      </c>
    </row>
    <row r="12" spans="1:10" s="2" customFormat="1" ht="15" customHeight="1" thickBot="1">
      <c r="A12" s="27" t="s">
        <v>30</v>
      </c>
      <c r="B12" s="25"/>
      <c r="C12" s="25"/>
      <c r="D12" s="25"/>
      <c r="E12" s="25"/>
      <c r="F12" s="25"/>
      <c r="G12" s="25"/>
      <c r="H12" s="26"/>
      <c r="I12" s="279" t="s">
        <v>119</v>
      </c>
      <c r="J12" s="280" t="str">
        <f>IF(OR(Calculations!K37,Calculations!K40),Calculations!AC44,"N/A")</f>
        <v>N/A</v>
      </c>
    </row>
    <row r="13" spans="1:10" s="2" customFormat="1" ht="12.75">
      <c r="A13" s="35" t="s">
        <v>36</v>
      </c>
      <c r="B13" s="36" t="s">
        <v>27</v>
      </c>
      <c r="C13" s="37" t="s">
        <v>59</v>
      </c>
      <c r="D13" s="37" t="s">
        <v>31</v>
      </c>
      <c r="E13" s="37" t="s">
        <v>206</v>
      </c>
      <c r="F13" s="38" t="s">
        <v>26</v>
      </c>
      <c r="G13" s="37" t="s">
        <v>33</v>
      </c>
      <c r="H13" s="39" t="s">
        <v>34</v>
      </c>
      <c r="I13" s="279" t="s">
        <v>120</v>
      </c>
      <c r="J13" s="280" t="str">
        <f>IF(OR(Calculations!K33,Calculations!K34,Calculations!K35,Calculations!K36,Calculations!K38,Calculations!K39,Calculations!K41,Calculations!K42,Calculations!K43,Calculations!K44),Calculations!AC45,"N/A")</f>
        <v>N/A</v>
      </c>
    </row>
    <row r="14" spans="1:10" ht="12.75" customHeight="1" thickBot="1">
      <c r="A14" s="23"/>
      <c r="B14" s="46"/>
      <c r="C14" s="316">
        <v>1</v>
      </c>
      <c r="D14" s="298">
        <v>0</v>
      </c>
      <c r="E14" s="298">
        <v>0</v>
      </c>
      <c r="F14" s="30"/>
      <c r="G14" s="28"/>
      <c r="H14" s="33"/>
      <c r="I14" s="281" t="s">
        <v>123</v>
      </c>
      <c r="J14" s="282" t="str">
        <f>IF(Calculations!K45,Calculations!AC46,"N/A")</f>
        <v>N/A</v>
      </c>
    </row>
    <row r="15" spans="1:8" ht="12.75" customHeight="1" thickBot="1">
      <c r="A15" s="23"/>
      <c r="B15" s="5"/>
      <c r="C15" s="314"/>
      <c r="D15" s="298"/>
      <c r="E15" s="298"/>
      <c r="F15" s="30"/>
      <c r="G15" s="28"/>
      <c r="H15" s="34"/>
    </row>
    <row r="16" spans="1:10" ht="12.75">
      <c r="A16" s="44" t="s">
        <v>61</v>
      </c>
      <c r="B16" s="29"/>
      <c r="C16" s="42" t="s">
        <v>60</v>
      </c>
      <c r="D16" s="47" t="s">
        <v>66</v>
      </c>
      <c r="E16" s="42" t="s">
        <v>35</v>
      </c>
      <c r="F16" s="30"/>
      <c r="G16" s="28"/>
      <c r="H16" s="40"/>
      <c r="I16" s="322" t="s">
        <v>277</v>
      </c>
      <c r="J16" s="323"/>
    </row>
    <row r="17" spans="1:10" ht="12.75">
      <c r="A17" s="43"/>
      <c r="B17" s="40"/>
      <c r="C17" s="298">
        <v>4</v>
      </c>
      <c r="D17" s="301">
        <f>Calculations!M4/10</f>
        <v>1.2</v>
      </c>
      <c r="E17" s="296">
        <v>0</v>
      </c>
      <c r="F17" s="31"/>
      <c r="G17" s="28"/>
      <c r="H17" s="40"/>
      <c r="I17" s="324"/>
      <c r="J17" s="325"/>
    </row>
    <row r="18" spans="1:10" ht="12.75" customHeight="1">
      <c r="A18" s="45"/>
      <c r="B18" s="40"/>
      <c r="C18" s="314"/>
      <c r="D18" s="302"/>
      <c r="E18" s="297"/>
      <c r="F18" s="40"/>
      <c r="G18" s="28"/>
      <c r="H18" s="40"/>
      <c r="I18" s="326"/>
      <c r="J18" s="327"/>
    </row>
    <row r="19" spans="1:10" ht="12.75" customHeight="1">
      <c r="A19" s="23"/>
      <c r="B19" s="40"/>
      <c r="C19" s="42" t="s">
        <v>73</v>
      </c>
      <c r="D19" s="42" t="s">
        <v>165</v>
      </c>
      <c r="E19" s="42" t="s">
        <v>166</v>
      </c>
      <c r="F19" s="40"/>
      <c r="G19" s="28"/>
      <c r="H19" s="40"/>
      <c r="I19" s="326"/>
      <c r="J19" s="327"/>
    </row>
    <row r="20" spans="1:10" ht="12.75" customHeight="1">
      <c r="A20" s="23"/>
      <c r="B20" s="40"/>
      <c r="C20" s="298">
        <v>0</v>
      </c>
      <c r="D20" s="298">
        <v>0</v>
      </c>
      <c r="E20" s="298">
        <v>0</v>
      </c>
      <c r="F20" s="40"/>
      <c r="G20" s="28"/>
      <c r="H20" s="40"/>
      <c r="I20" s="320"/>
      <c r="J20" s="321"/>
    </row>
    <row r="21" spans="1:10" ht="12.75">
      <c r="A21" s="23"/>
      <c r="B21" s="40"/>
      <c r="C21" s="314"/>
      <c r="D21" s="314"/>
      <c r="E21" s="314"/>
      <c r="F21" s="40"/>
      <c r="G21" s="28"/>
      <c r="H21" s="40"/>
      <c r="I21" s="320"/>
      <c r="J21" s="321"/>
    </row>
    <row r="22" spans="1:10" ht="13.5" thickBot="1">
      <c r="A22" s="24"/>
      <c r="B22" s="41"/>
      <c r="C22" s="41"/>
      <c r="D22" s="41"/>
      <c r="E22" s="41"/>
      <c r="F22" s="41"/>
      <c r="G22" s="32"/>
      <c r="H22" s="41"/>
      <c r="I22" s="287"/>
      <c r="J22" s="288"/>
    </row>
    <row r="23" spans="1:10" ht="13.5" thickBot="1">
      <c r="A23" s="121" t="s">
        <v>37</v>
      </c>
      <c r="B23" s="122"/>
      <c r="C23" s="122"/>
      <c r="D23" s="122"/>
      <c r="E23" s="122"/>
      <c r="F23" s="122"/>
      <c r="G23" s="122"/>
      <c r="H23" s="122"/>
      <c r="I23" s="289"/>
      <c r="J23" s="290"/>
    </row>
    <row r="24" spans="1:10" ht="12.75">
      <c r="A24" s="123" t="s">
        <v>36</v>
      </c>
      <c r="B24" s="124" t="s">
        <v>27</v>
      </c>
      <c r="C24" s="125" t="s">
        <v>31</v>
      </c>
      <c r="D24" s="125" t="s">
        <v>206</v>
      </c>
      <c r="E24" s="137" t="s">
        <v>137</v>
      </c>
      <c r="F24" s="140" t="s">
        <v>26</v>
      </c>
      <c r="G24" s="146" t="s">
        <v>33</v>
      </c>
      <c r="H24" s="285" t="s">
        <v>150</v>
      </c>
      <c r="I24" s="338" t="s">
        <v>280</v>
      </c>
      <c r="J24" s="339"/>
    </row>
    <row r="25" spans="1:13" ht="12.75" customHeight="1">
      <c r="A25" s="126"/>
      <c r="B25" s="136"/>
      <c r="C25" s="295">
        <v>0</v>
      </c>
      <c r="D25" s="295">
        <v>0</v>
      </c>
      <c r="E25" s="138" t="s">
        <v>59</v>
      </c>
      <c r="F25" s="141"/>
      <c r="G25" s="147"/>
      <c r="H25" s="318">
        <v>8</v>
      </c>
      <c r="I25" s="340"/>
      <c r="J25" s="341"/>
      <c r="M25" s="283"/>
    </row>
    <row r="26" spans="1:10" ht="12.75" customHeight="1">
      <c r="A26" s="126"/>
      <c r="B26" s="128"/>
      <c r="C26" s="295"/>
      <c r="D26" s="295"/>
      <c r="E26" s="304">
        <v>1</v>
      </c>
      <c r="F26" s="141"/>
      <c r="G26" s="147"/>
      <c r="H26" s="319"/>
      <c r="I26" s="340"/>
      <c r="J26" s="341"/>
    </row>
    <row r="27" spans="1:10" ht="12.75">
      <c r="A27" s="129" t="s">
        <v>61</v>
      </c>
      <c r="B27" s="127"/>
      <c r="C27" s="130" t="s">
        <v>66</v>
      </c>
      <c r="D27" s="130" t="s">
        <v>35</v>
      </c>
      <c r="E27" s="305"/>
      <c r="F27" s="141"/>
      <c r="G27" s="147"/>
      <c r="H27" s="286" t="s">
        <v>165</v>
      </c>
      <c r="I27" s="340"/>
      <c r="J27" s="341"/>
    </row>
    <row r="28" spans="1:10" ht="12.75">
      <c r="A28" s="43"/>
      <c r="B28" s="131"/>
      <c r="C28" s="308">
        <f>Calculations!M35/10</f>
        <v>0.5</v>
      </c>
      <c r="D28" s="310">
        <v>0</v>
      </c>
      <c r="E28" s="139" t="s">
        <v>31</v>
      </c>
      <c r="F28" s="142"/>
      <c r="G28" s="147"/>
      <c r="H28" s="291">
        <v>0</v>
      </c>
      <c r="I28" s="340"/>
      <c r="J28" s="341"/>
    </row>
    <row r="29" spans="1:10" ht="12.75">
      <c r="A29" s="132"/>
      <c r="B29" s="131"/>
      <c r="C29" s="309"/>
      <c r="D29" s="311"/>
      <c r="E29" s="304">
        <v>0</v>
      </c>
      <c r="F29" s="143"/>
      <c r="G29" s="147"/>
      <c r="H29" s="317"/>
      <c r="I29" s="340"/>
      <c r="J29" s="341"/>
    </row>
    <row r="30" spans="1:10" ht="12.75">
      <c r="A30" s="126"/>
      <c r="B30" s="133"/>
      <c r="C30" s="130" t="s">
        <v>73</v>
      </c>
      <c r="D30" s="130" t="s">
        <v>136</v>
      </c>
      <c r="E30" s="305"/>
      <c r="F30" s="143"/>
      <c r="G30" s="147"/>
      <c r="H30" s="161" t="s">
        <v>166</v>
      </c>
      <c r="I30" s="340"/>
      <c r="J30" s="341"/>
    </row>
    <row r="31" spans="1:10" ht="12.75">
      <c r="A31" s="126"/>
      <c r="B31" s="133"/>
      <c r="C31" s="295">
        <v>0</v>
      </c>
      <c r="D31" s="295">
        <v>0</v>
      </c>
      <c r="E31" s="139" t="s">
        <v>206</v>
      </c>
      <c r="F31" s="143"/>
      <c r="G31" s="147"/>
      <c r="H31" s="291">
        <v>0</v>
      </c>
      <c r="I31" s="340"/>
      <c r="J31" s="341"/>
    </row>
    <row r="32" spans="1:10" ht="12.75">
      <c r="A32" s="126"/>
      <c r="B32" s="133"/>
      <c r="C32" s="303"/>
      <c r="D32" s="303"/>
      <c r="E32" s="306">
        <v>0</v>
      </c>
      <c r="F32" s="143"/>
      <c r="G32" s="147"/>
      <c r="H32" s="317"/>
      <c r="I32" s="340"/>
      <c r="J32" s="341"/>
    </row>
    <row r="33" spans="1:10" ht="13.5" thickBot="1">
      <c r="A33" s="134"/>
      <c r="B33" s="135"/>
      <c r="C33" s="135"/>
      <c r="D33" s="135"/>
      <c r="E33" s="307"/>
      <c r="F33" s="144"/>
      <c r="G33" s="148"/>
      <c r="H33" s="149"/>
      <c r="I33" s="342"/>
      <c r="J33" s="343"/>
    </row>
    <row r="34" spans="1:10" ht="15" customHeight="1" thickBot="1">
      <c r="A34" s="167" t="s">
        <v>38</v>
      </c>
      <c r="B34" s="168"/>
      <c r="C34" s="168"/>
      <c r="D34" s="168"/>
      <c r="E34" s="168"/>
      <c r="F34" s="169"/>
      <c r="G34" s="169"/>
      <c r="H34" s="170"/>
      <c r="I34" s="344"/>
      <c r="J34" s="345"/>
    </row>
    <row r="35" spans="1:11" ht="12.75">
      <c r="A35" s="165"/>
      <c r="B35" s="172" t="s">
        <v>61</v>
      </c>
      <c r="C35" s="172" t="s">
        <v>27</v>
      </c>
      <c r="D35" s="172" t="s">
        <v>31</v>
      </c>
      <c r="E35" s="172" t="s">
        <v>32</v>
      </c>
      <c r="F35" s="172" t="s">
        <v>35</v>
      </c>
      <c r="G35" s="172" t="s">
        <v>165</v>
      </c>
      <c r="H35" s="171" t="s">
        <v>166</v>
      </c>
      <c r="I35" s="344"/>
      <c r="J35" s="345"/>
      <c r="K35" s="3"/>
    </row>
    <row r="36" spans="1:11" ht="18" customHeight="1" thickBot="1">
      <c r="A36" s="166"/>
      <c r="B36" s="174"/>
      <c r="C36" s="173"/>
      <c r="D36" s="175">
        <v>0</v>
      </c>
      <c r="E36" s="175">
        <v>0</v>
      </c>
      <c r="F36" s="175">
        <v>0</v>
      </c>
      <c r="G36" s="175">
        <v>0</v>
      </c>
      <c r="H36" s="176">
        <v>0</v>
      </c>
      <c r="I36" s="346"/>
      <c r="J36" s="347"/>
      <c r="K36" s="3"/>
    </row>
    <row r="37" spans="1:8" ht="15" customHeight="1" thickBot="1">
      <c r="A37" s="177" t="s">
        <v>39</v>
      </c>
      <c r="B37" s="178"/>
      <c r="C37" s="178"/>
      <c r="D37" s="178"/>
      <c r="E37" s="178"/>
      <c r="F37" s="179"/>
      <c r="G37" s="179"/>
      <c r="H37" s="180"/>
    </row>
    <row r="38" spans="1:11" ht="12.75">
      <c r="A38" s="181"/>
      <c r="B38" s="183" t="s">
        <v>61</v>
      </c>
      <c r="C38" s="183" t="s">
        <v>27</v>
      </c>
      <c r="D38" s="183" t="s">
        <v>31</v>
      </c>
      <c r="E38" s="183" t="s">
        <v>32</v>
      </c>
      <c r="F38" s="183" t="s">
        <v>35</v>
      </c>
      <c r="G38" s="183" t="s">
        <v>164</v>
      </c>
      <c r="H38" s="184" t="s">
        <v>163</v>
      </c>
      <c r="K38" s="3"/>
    </row>
    <row r="39" spans="1:11" ht="18" customHeight="1" thickBot="1">
      <c r="A39" s="182"/>
      <c r="B39" s="174"/>
      <c r="C39" s="185"/>
      <c r="D39" s="186">
        <v>0</v>
      </c>
      <c r="E39" s="186">
        <v>0</v>
      </c>
      <c r="F39" s="186">
        <v>0</v>
      </c>
      <c r="G39" s="186">
        <v>0</v>
      </c>
      <c r="H39" s="187">
        <v>0</v>
      </c>
      <c r="K39" s="3"/>
    </row>
    <row r="40" spans="1:8" ht="15" customHeight="1" thickBot="1">
      <c r="A40" s="219" t="s">
        <v>40</v>
      </c>
      <c r="B40" s="220"/>
      <c r="C40" s="221"/>
      <c r="D40" s="221"/>
      <c r="E40" s="220"/>
      <c r="F40" s="222"/>
      <c r="G40" s="222"/>
      <c r="H40" s="223"/>
    </row>
    <row r="41" spans="1:11" ht="12.75">
      <c r="A41" s="211"/>
      <c r="B41" s="224" t="s">
        <v>61</v>
      </c>
      <c r="C41" s="225" t="s">
        <v>27</v>
      </c>
      <c r="D41" s="225" t="s">
        <v>31</v>
      </c>
      <c r="E41" s="224" t="s">
        <v>32</v>
      </c>
      <c r="F41" s="224" t="s">
        <v>35</v>
      </c>
      <c r="G41" s="224" t="s">
        <v>164</v>
      </c>
      <c r="H41" s="226" t="s">
        <v>163</v>
      </c>
      <c r="I41"/>
      <c r="K41" s="3"/>
    </row>
    <row r="42" spans="1:11" ht="18" customHeight="1" thickBot="1">
      <c r="A42" s="212"/>
      <c r="B42" s="174"/>
      <c r="C42" s="227"/>
      <c r="D42" s="228">
        <v>0</v>
      </c>
      <c r="E42" s="229">
        <v>0</v>
      </c>
      <c r="F42" s="229">
        <v>0</v>
      </c>
      <c r="G42" s="229">
        <v>0</v>
      </c>
      <c r="H42" s="230">
        <v>0</v>
      </c>
      <c r="I42"/>
      <c r="K42" s="3"/>
    </row>
    <row r="43" spans="1:8" ht="15" customHeight="1" thickBot="1">
      <c r="A43" s="203" t="s">
        <v>41</v>
      </c>
      <c r="B43" s="204"/>
      <c r="C43" s="204"/>
      <c r="D43" s="204"/>
      <c r="E43" s="204"/>
      <c r="F43" s="205"/>
      <c r="G43" s="205"/>
      <c r="H43" s="206"/>
    </row>
    <row r="44" spans="1:11" ht="12.75">
      <c r="A44" s="198"/>
      <c r="B44" s="201" t="s">
        <v>61</v>
      </c>
      <c r="C44" s="201" t="s">
        <v>27</v>
      </c>
      <c r="D44" s="201" t="s">
        <v>31</v>
      </c>
      <c r="E44" s="201" t="s">
        <v>32</v>
      </c>
      <c r="F44" s="201" t="s">
        <v>35</v>
      </c>
      <c r="G44" s="201" t="s">
        <v>164</v>
      </c>
      <c r="H44" s="202" t="s">
        <v>163</v>
      </c>
      <c r="I44"/>
      <c r="K44" s="3"/>
    </row>
    <row r="45" spans="1:11" ht="18" customHeight="1" thickBot="1">
      <c r="A45" s="199"/>
      <c r="B45" s="174"/>
      <c r="C45" s="200"/>
      <c r="D45" s="207">
        <v>0</v>
      </c>
      <c r="E45" s="207">
        <v>0</v>
      </c>
      <c r="F45" s="207">
        <v>0</v>
      </c>
      <c r="G45" s="207">
        <v>0</v>
      </c>
      <c r="H45" s="208">
        <v>0</v>
      </c>
      <c r="I45"/>
      <c r="K45" s="3"/>
    </row>
    <row r="46" spans="1:8" ht="15" customHeight="1" thickBot="1">
      <c r="A46" s="233" t="s">
        <v>42</v>
      </c>
      <c r="B46" s="234"/>
      <c r="C46" s="234"/>
      <c r="D46" s="234"/>
      <c r="E46" s="234"/>
      <c r="F46" s="235"/>
      <c r="G46" s="235"/>
      <c r="H46" s="236"/>
    </row>
    <row r="47" spans="1:11" ht="12.75">
      <c r="A47" s="209"/>
      <c r="B47" s="253" t="s">
        <v>61</v>
      </c>
      <c r="C47" s="253" t="s">
        <v>27</v>
      </c>
      <c r="D47" s="253" t="s">
        <v>31</v>
      </c>
      <c r="E47" s="253" t="s">
        <v>32</v>
      </c>
      <c r="F47" s="253" t="s">
        <v>35</v>
      </c>
      <c r="G47" s="253" t="s">
        <v>164</v>
      </c>
      <c r="H47" s="254" t="s">
        <v>163</v>
      </c>
      <c r="I47"/>
      <c r="K47" s="3"/>
    </row>
    <row r="48" spans="1:11" ht="18" customHeight="1" thickBot="1">
      <c r="A48" s="210"/>
      <c r="B48" s="174"/>
      <c r="C48" s="255"/>
      <c r="D48" s="256">
        <v>0</v>
      </c>
      <c r="E48" s="256">
        <v>0</v>
      </c>
      <c r="F48" s="256">
        <v>0</v>
      </c>
      <c r="G48" s="256">
        <v>0</v>
      </c>
      <c r="H48" s="257">
        <v>0</v>
      </c>
      <c r="I48"/>
      <c r="K48" s="3"/>
    </row>
    <row r="49" spans="1:8" ht="15" customHeight="1" thickBot="1">
      <c r="A49" s="237" t="s">
        <v>43</v>
      </c>
      <c r="B49" s="238"/>
      <c r="C49" s="238"/>
      <c r="D49" s="238"/>
      <c r="E49" s="238"/>
      <c r="F49" s="239"/>
      <c r="G49" s="239"/>
      <c r="H49" s="240"/>
    </row>
    <row r="50" spans="1:11" ht="12.75">
      <c r="A50" s="213"/>
      <c r="B50" s="258" t="s">
        <v>61</v>
      </c>
      <c r="C50" s="258" t="s">
        <v>27</v>
      </c>
      <c r="D50" s="258" t="s">
        <v>31</v>
      </c>
      <c r="E50" s="258" t="s">
        <v>32</v>
      </c>
      <c r="F50" s="258" t="s">
        <v>35</v>
      </c>
      <c r="G50" s="258" t="s">
        <v>164</v>
      </c>
      <c r="H50" s="259" t="s">
        <v>163</v>
      </c>
      <c r="I50"/>
      <c r="K50" s="3"/>
    </row>
    <row r="51" spans="1:11" ht="18" customHeight="1" thickBot="1">
      <c r="A51" s="214"/>
      <c r="B51" s="174"/>
      <c r="C51" s="260"/>
      <c r="D51" s="261">
        <v>0</v>
      </c>
      <c r="E51" s="261">
        <v>0</v>
      </c>
      <c r="F51" s="261">
        <v>0</v>
      </c>
      <c r="G51" s="261">
        <v>0</v>
      </c>
      <c r="H51" s="262">
        <v>0</v>
      </c>
      <c r="I51"/>
      <c r="K51" s="3"/>
    </row>
    <row r="52" spans="1:8" ht="15" customHeight="1" thickBot="1">
      <c r="A52" s="241" t="s">
        <v>44</v>
      </c>
      <c r="B52" s="242"/>
      <c r="C52" s="242"/>
      <c r="D52" s="242"/>
      <c r="E52" s="242"/>
      <c r="F52" s="243"/>
      <c r="G52" s="243"/>
      <c r="H52" s="244"/>
    </row>
    <row r="53" spans="1:11" ht="12.75">
      <c r="A53" s="217"/>
      <c r="B53" s="263" t="s">
        <v>61</v>
      </c>
      <c r="C53" s="263" t="s">
        <v>27</v>
      </c>
      <c r="D53" s="263" t="s">
        <v>31</v>
      </c>
      <c r="E53" s="263" t="s">
        <v>32</v>
      </c>
      <c r="F53" s="263" t="s">
        <v>35</v>
      </c>
      <c r="G53" s="263" t="s">
        <v>164</v>
      </c>
      <c r="H53" s="264" t="s">
        <v>163</v>
      </c>
      <c r="I53"/>
      <c r="K53" s="3"/>
    </row>
    <row r="54" spans="1:11" ht="18" customHeight="1" thickBot="1">
      <c r="A54" s="218"/>
      <c r="B54" s="174"/>
      <c r="C54" s="265"/>
      <c r="D54" s="266">
        <v>0</v>
      </c>
      <c r="E54" s="266">
        <v>0</v>
      </c>
      <c r="F54" s="266">
        <v>0</v>
      </c>
      <c r="G54" s="266">
        <v>0</v>
      </c>
      <c r="H54" s="267">
        <v>0</v>
      </c>
      <c r="I54"/>
      <c r="K54" s="3"/>
    </row>
    <row r="55" spans="1:8" ht="15" customHeight="1" thickBot="1">
      <c r="A55" s="245" t="s">
        <v>220</v>
      </c>
      <c r="B55" s="246"/>
      <c r="C55" s="246"/>
      <c r="D55" s="246"/>
      <c r="E55" s="246"/>
      <c r="F55" s="247"/>
      <c r="G55" s="247"/>
      <c r="H55" s="248"/>
    </row>
    <row r="56" spans="1:11" ht="12.75">
      <c r="A56" s="215"/>
      <c r="B56" s="268" t="s">
        <v>61</v>
      </c>
      <c r="C56" s="268" t="s">
        <v>27</v>
      </c>
      <c r="D56" s="268" t="s">
        <v>31</v>
      </c>
      <c r="E56" s="268" t="s">
        <v>32</v>
      </c>
      <c r="F56" s="268" t="s">
        <v>35</v>
      </c>
      <c r="G56" s="268" t="s">
        <v>164</v>
      </c>
      <c r="H56" s="269" t="s">
        <v>163</v>
      </c>
      <c r="I56"/>
      <c r="K56" s="3"/>
    </row>
    <row r="57" spans="1:11" ht="18" customHeight="1" thickBot="1">
      <c r="A57" s="216"/>
      <c r="B57" s="174"/>
      <c r="C57" s="270"/>
      <c r="D57" s="271">
        <v>0</v>
      </c>
      <c r="E57" s="271">
        <v>0</v>
      </c>
      <c r="F57" s="271">
        <v>0</v>
      </c>
      <c r="G57" s="271">
        <v>0</v>
      </c>
      <c r="H57" s="272">
        <v>0</v>
      </c>
      <c r="I57"/>
      <c r="K57" s="3"/>
    </row>
    <row r="58" spans="1:8" ht="15" customHeight="1" thickBot="1">
      <c r="A58" s="195" t="s">
        <v>46</v>
      </c>
      <c r="B58" s="188"/>
      <c r="C58" s="188"/>
      <c r="D58" s="188"/>
      <c r="E58" s="188"/>
      <c r="F58" s="189"/>
      <c r="G58" s="189"/>
      <c r="H58" s="190"/>
    </row>
    <row r="59" spans="1:11" ht="12.75">
      <c r="A59" s="196"/>
      <c r="B59" s="191" t="s">
        <v>61</v>
      </c>
      <c r="C59" s="191" t="s">
        <v>27</v>
      </c>
      <c r="D59" s="191" t="s">
        <v>31</v>
      </c>
      <c r="E59" s="191" t="s">
        <v>32</v>
      </c>
      <c r="F59" s="191" t="s">
        <v>35</v>
      </c>
      <c r="G59" s="191" t="s">
        <v>164</v>
      </c>
      <c r="H59" s="192" t="s">
        <v>163</v>
      </c>
      <c r="I59"/>
      <c r="K59" s="3"/>
    </row>
    <row r="60" spans="1:11" ht="18" customHeight="1" thickBot="1">
      <c r="A60" s="197"/>
      <c r="B60" s="174"/>
      <c r="C60" s="273"/>
      <c r="D60" s="193">
        <v>0</v>
      </c>
      <c r="E60" s="193">
        <v>0</v>
      </c>
      <c r="F60" s="193">
        <v>0</v>
      </c>
      <c r="G60" s="193">
        <v>0</v>
      </c>
      <c r="H60" s="194">
        <v>0</v>
      </c>
      <c r="I60"/>
      <c r="K60" s="3"/>
    </row>
    <row r="61" spans="1:8" ht="15" customHeight="1" thickBot="1">
      <c r="A61" s="249" t="s">
        <v>47</v>
      </c>
      <c r="B61" s="250"/>
      <c r="C61" s="250"/>
      <c r="D61" s="250"/>
      <c r="E61" s="250"/>
      <c r="F61" s="251"/>
      <c r="G61" s="251"/>
      <c r="H61" s="252"/>
    </row>
    <row r="62" spans="1:11" ht="12.75">
      <c r="A62" s="231"/>
      <c r="B62" s="274" t="s">
        <v>61</v>
      </c>
      <c r="C62" s="274" t="s">
        <v>27</v>
      </c>
      <c r="D62" s="274" t="s">
        <v>31</v>
      </c>
      <c r="E62" s="274" t="s">
        <v>32</v>
      </c>
      <c r="F62" s="274" t="s">
        <v>35</v>
      </c>
      <c r="G62" s="274" t="s">
        <v>165</v>
      </c>
      <c r="H62" s="275" t="s">
        <v>166</v>
      </c>
      <c r="I62"/>
      <c r="K62" s="3"/>
    </row>
    <row r="63" spans="1:11" ht="18" customHeight="1" thickBot="1">
      <c r="A63" s="232"/>
      <c r="B63" s="174"/>
      <c r="C63" s="276"/>
      <c r="D63" s="277">
        <v>0</v>
      </c>
      <c r="E63" s="277">
        <v>0</v>
      </c>
      <c r="F63" s="277">
        <v>0</v>
      </c>
      <c r="G63" s="277">
        <v>0</v>
      </c>
      <c r="H63" s="278">
        <v>0</v>
      </c>
      <c r="I63"/>
      <c r="K63" s="3"/>
    </row>
  </sheetData>
  <mergeCells count="37">
    <mergeCell ref="I24:J36"/>
    <mergeCell ref="I20:J20"/>
    <mergeCell ref="I21:J21"/>
    <mergeCell ref="I16:J19"/>
    <mergeCell ref="I1:J1"/>
    <mergeCell ref="I4:J4"/>
    <mergeCell ref="I5:J5"/>
    <mergeCell ref="I10:J10"/>
    <mergeCell ref="H31:H32"/>
    <mergeCell ref="E20:E21"/>
    <mergeCell ref="H28:H29"/>
    <mergeCell ref="H25:H26"/>
    <mergeCell ref="E26:E27"/>
    <mergeCell ref="D4:D5"/>
    <mergeCell ref="D6:D7"/>
    <mergeCell ref="C20:C21"/>
    <mergeCell ref="C4:C5"/>
    <mergeCell ref="C7:C8"/>
    <mergeCell ref="C14:C15"/>
    <mergeCell ref="C17:C18"/>
    <mergeCell ref="D20:D21"/>
    <mergeCell ref="C31:C32"/>
    <mergeCell ref="E29:E30"/>
    <mergeCell ref="E32:E33"/>
    <mergeCell ref="D31:D32"/>
    <mergeCell ref="C28:C29"/>
    <mergeCell ref="D28:D29"/>
    <mergeCell ref="A1:H1"/>
    <mergeCell ref="I3:J3"/>
    <mergeCell ref="C25:C26"/>
    <mergeCell ref="D25:D26"/>
    <mergeCell ref="E17:E18"/>
    <mergeCell ref="E14:E15"/>
    <mergeCell ref="D14:D15"/>
    <mergeCell ref="E4:E5"/>
    <mergeCell ref="E6:E7"/>
    <mergeCell ref="D17:D18"/>
  </mergeCells>
  <hyperlinks>
    <hyperlink ref="I1" r:id="rId1" display="flying_firetiger@yahoo.com"/>
  </hyperlinks>
  <printOptions/>
  <pageMargins left="0.75" right="0.75" top="1" bottom="1" header="0.5" footer="0.5"/>
  <pageSetup horizontalDpi="300" verticalDpi="300" orientation="portrait" r:id="rId3"/>
  <legacyDrawing r:id="rId2"/>
</worksheet>
</file>

<file path=xl/worksheets/sheet10.xml><?xml version="1.0" encoding="utf-8"?>
<worksheet xmlns="http://schemas.openxmlformats.org/spreadsheetml/2006/main" xmlns:r="http://schemas.openxmlformats.org/officeDocument/2006/relationships">
  <sheetPr codeName="Sheet9"/>
  <dimension ref="A1:G1"/>
  <sheetViews>
    <sheetView workbookViewId="0" topLeftCell="A1">
      <selection activeCell="A2" sqref="A2:IV2"/>
    </sheetView>
  </sheetViews>
  <sheetFormatPr defaultColWidth="9.140625" defaultRowHeight="12.75"/>
  <cols>
    <col min="1" max="1" width="19.7109375" style="3" customWidth="1"/>
    <col min="2" max="2" width="5.421875" style="3" customWidth="1"/>
    <col min="3" max="3" width="6.28125" style="3" customWidth="1"/>
    <col min="4" max="4" width="8.00390625" style="3" customWidth="1"/>
    <col min="5" max="5" width="13.00390625" style="3" customWidth="1"/>
    <col min="6" max="7" width="10.8515625" style="3" customWidth="1"/>
    <col min="8" max="16384" width="9.140625" style="3" customWidth="1"/>
  </cols>
  <sheetData>
    <row r="1" spans="1:7" ht="12.75">
      <c r="A1" s="2" t="s">
        <v>36</v>
      </c>
      <c r="B1" s="2" t="s">
        <v>27</v>
      </c>
      <c r="C1" s="2" t="s">
        <v>31</v>
      </c>
      <c r="D1" s="2" t="s">
        <v>32</v>
      </c>
      <c r="E1" s="2" t="s">
        <v>35</v>
      </c>
      <c r="F1" s="2" t="s">
        <v>165</v>
      </c>
      <c r="G1" s="2" t="s">
        <v>166</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0"/>
  <dimension ref="A1:G1"/>
  <sheetViews>
    <sheetView workbookViewId="0" topLeftCell="A1">
      <selection activeCell="A2" sqref="A2:IV2"/>
    </sheetView>
  </sheetViews>
  <sheetFormatPr defaultColWidth="9.140625" defaultRowHeight="12.75"/>
  <cols>
    <col min="1" max="1" width="19.7109375" style="3" customWidth="1"/>
    <col min="2" max="2" width="5.421875" style="3" customWidth="1"/>
    <col min="3" max="3" width="6.28125" style="3" customWidth="1"/>
    <col min="4" max="4" width="8.00390625" style="3" customWidth="1"/>
    <col min="5" max="5" width="13.00390625" style="3" customWidth="1"/>
    <col min="6" max="7" width="10.8515625" style="3" customWidth="1"/>
    <col min="8" max="16384" width="9.140625" style="3" customWidth="1"/>
  </cols>
  <sheetData>
    <row r="1" spans="1:7" ht="12.75">
      <c r="A1" s="2" t="s">
        <v>36</v>
      </c>
      <c r="B1" s="2" t="s">
        <v>27</v>
      </c>
      <c r="C1" s="2" t="s">
        <v>31</v>
      </c>
      <c r="D1" s="2" t="s">
        <v>32</v>
      </c>
      <c r="E1" s="2" t="s">
        <v>35</v>
      </c>
      <c r="F1" s="2" t="s">
        <v>165</v>
      </c>
      <c r="G1" s="2" t="s">
        <v>166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1"/>
  <dimension ref="A1:G1"/>
  <sheetViews>
    <sheetView workbookViewId="0" topLeftCell="A1">
      <selection activeCell="A2" sqref="A2:IV2"/>
    </sheetView>
  </sheetViews>
  <sheetFormatPr defaultColWidth="9.140625" defaultRowHeight="12.75"/>
  <cols>
    <col min="1" max="1" width="19.7109375" style="3" customWidth="1"/>
    <col min="2" max="2" width="5.421875" style="3" customWidth="1"/>
    <col min="3" max="3" width="6.28125" style="3" customWidth="1"/>
    <col min="4" max="4" width="8.00390625" style="3" customWidth="1"/>
    <col min="5" max="5" width="13.00390625" style="3" customWidth="1"/>
    <col min="6" max="7" width="10.8515625" style="3" customWidth="1"/>
    <col min="8" max="16384" width="9.140625" style="3" customWidth="1"/>
  </cols>
  <sheetData>
    <row r="1" spans="1:7" ht="12.75">
      <c r="A1" s="2" t="s">
        <v>36</v>
      </c>
      <c r="B1" s="2" t="s">
        <v>27</v>
      </c>
      <c r="C1" s="2" t="s">
        <v>31</v>
      </c>
      <c r="D1" s="2" t="s">
        <v>32</v>
      </c>
      <c r="E1" s="2" t="s">
        <v>35</v>
      </c>
      <c r="F1" s="2" t="s">
        <v>165</v>
      </c>
      <c r="G1" s="2" t="s">
        <v>166</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2"/>
  <dimension ref="A1:G1"/>
  <sheetViews>
    <sheetView workbookViewId="0" topLeftCell="A1">
      <selection activeCell="A2" sqref="A2:IV2"/>
    </sheetView>
  </sheetViews>
  <sheetFormatPr defaultColWidth="9.140625" defaultRowHeight="12.75"/>
  <cols>
    <col min="1" max="1" width="19.7109375" style="3" customWidth="1"/>
    <col min="2" max="2" width="5.421875" style="3" customWidth="1"/>
    <col min="3" max="3" width="6.28125" style="3" customWidth="1"/>
    <col min="4" max="4" width="8.00390625" style="3" customWidth="1"/>
    <col min="5" max="5" width="13.00390625" style="3" customWidth="1"/>
    <col min="6" max="7" width="10.8515625" style="3" customWidth="1"/>
    <col min="8" max="16384" width="9.140625" style="3" customWidth="1"/>
  </cols>
  <sheetData>
    <row r="1" spans="1:7" ht="12.75">
      <c r="A1" s="2" t="s">
        <v>36</v>
      </c>
      <c r="B1" s="2" t="s">
        <v>27</v>
      </c>
      <c r="C1" s="2" t="s">
        <v>31</v>
      </c>
      <c r="D1" s="2" t="s">
        <v>32</v>
      </c>
      <c r="E1" s="2" t="s">
        <v>35</v>
      </c>
      <c r="F1" s="2" t="s">
        <v>165</v>
      </c>
      <c r="G1" s="2" t="s">
        <v>166</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3"/>
  <dimension ref="A1:G1"/>
  <sheetViews>
    <sheetView workbookViewId="0" topLeftCell="A1">
      <selection activeCell="A2" sqref="A2:IV2"/>
    </sheetView>
  </sheetViews>
  <sheetFormatPr defaultColWidth="9.140625" defaultRowHeight="12.75"/>
  <cols>
    <col min="1" max="1" width="19.7109375" style="3" customWidth="1"/>
    <col min="2" max="2" width="5.421875" style="3" customWidth="1"/>
    <col min="3" max="3" width="6.28125" style="3" customWidth="1"/>
    <col min="4" max="4" width="8.00390625" style="3" customWidth="1"/>
    <col min="5" max="5" width="13.00390625" style="3" customWidth="1"/>
    <col min="6" max="7" width="10.8515625" style="3" customWidth="1"/>
    <col min="8" max="16384" width="9.140625" style="3" customWidth="1"/>
  </cols>
  <sheetData>
    <row r="1" spans="1:7" ht="12.75">
      <c r="A1" s="2" t="s">
        <v>36</v>
      </c>
      <c r="B1" s="2" t="s">
        <v>27</v>
      </c>
      <c r="C1" s="2" t="s">
        <v>31</v>
      </c>
      <c r="D1" s="2" t="s">
        <v>32</v>
      </c>
      <c r="E1" s="2" t="s">
        <v>35</v>
      </c>
      <c r="F1" s="2" t="s">
        <v>165</v>
      </c>
      <c r="G1" s="2" t="s">
        <v>166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G1"/>
  <sheetViews>
    <sheetView workbookViewId="0" topLeftCell="A1">
      <selection activeCell="A2" sqref="A2:IV2"/>
    </sheetView>
  </sheetViews>
  <sheetFormatPr defaultColWidth="9.140625" defaultRowHeight="12.75"/>
  <cols>
    <col min="1" max="1" width="19.7109375" style="3" customWidth="1"/>
    <col min="2" max="2" width="5.421875" style="3" customWidth="1"/>
    <col min="3" max="3" width="6.28125" style="3" customWidth="1"/>
    <col min="4" max="4" width="8.00390625" style="3" customWidth="1"/>
    <col min="5" max="5" width="13.00390625" style="3" customWidth="1"/>
    <col min="6" max="7" width="10.8515625" style="3" customWidth="1"/>
    <col min="8" max="16384" width="9.140625" style="3" customWidth="1"/>
  </cols>
  <sheetData>
    <row r="1" spans="1:7" ht="12.75">
      <c r="A1" s="2" t="s">
        <v>36</v>
      </c>
      <c r="B1" s="2" t="s">
        <v>27</v>
      </c>
      <c r="C1" s="2" t="s">
        <v>31</v>
      </c>
      <c r="D1" s="2" t="s">
        <v>32</v>
      </c>
      <c r="E1" s="2" t="s">
        <v>35</v>
      </c>
      <c r="F1" s="2" t="s">
        <v>165</v>
      </c>
      <c r="G1" s="2" t="s">
        <v>166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5"/>
  <dimension ref="A2:V3"/>
  <sheetViews>
    <sheetView zoomScale="85" zoomScaleNormal="85" workbookViewId="0" topLeftCell="A3">
      <selection activeCell="A4" sqref="A4:V54"/>
    </sheetView>
  </sheetViews>
  <sheetFormatPr defaultColWidth="9.140625" defaultRowHeight="12.75"/>
  <cols>
    <col min="1" max="10" width="10.7109375" style="3" customWidth="1"/>
    <col min="11" max="11" width="15.28125" style="3" bestFit="1" customWidth="1"/>
    <col min="12" max="16384" width="10.7109375" style="3" customWidth="1"/>
  </cols>
  <sheetData>
    <row r="2" spans="1:10" ht="12.75">
      <c r="A2" s="336" t="s">
        <v>170</v>
      </c>
      <c r="B2" s="337"/>
      <c r="C2" s="337"/>
      <c r="D2" s="337"/>
      <c r="E2" s="337"/>
      <c r="F2" s="336" t="s">
        <v>176</v>
      </c>
      <c r="G2" s="337"/>
      <c r="H2" s="337"/>
      <c r="I2" s="337"/>
      <c r="J2" s="337"/>
    </row>
    <row r="3" spans="1:22" ht="12.75">
      <c r="A3" s="2" t="s">
        <v>278</v>
      </c>
      <c r="B3" s="2" t="s">
        <v>119</v>
      </c>
      <c r="C3" s="2" t="s">
        <v>120</v>
      </c>
      <c r="D3" s="2" t="s">
        <v>123</v>
      </c>
      <c r="E3" s="2" t="s">
        <v>279</v>
      </c>
      <c r="F3" s="2" t="s">
        <v>278</v>
      </c>
      <c r="G3" s="2" t="s">
        <v>119</v>
      </c>
      <c r="H3" s="2" t="s">
        <v>120</v>
      </c>
      <c r="I3" s="2" t="s">
        <v>123</v>
      </c>
      <c r="J3" s="2" t="s">
        <v>279</v>
      </c>
      <c r="K3" s="2" t="s">
        <v>36</v>
      </c>
      <c r="L3" s="2" t="s">
        <v>273</v>
      </c>
      <c r="M3" s="2" t="s">
        <v>274</v>
      </c>
      <c r="N3" s="2" t="s">
        <v>275</v>
      </c>
      <c r="O3" s="2" t="s">
        <v>40</v>
      </c>
      <c r="P3" s="2" t="s">
        <v>41</v>
      </c>
      <c r="Q3" s="2" t="s">
        <v>42</v>
      </c>
      <c r="R3" s="2" t="s">
        <v>43</v>
      </c>
      <c r="S3" s="2" t="s">
        <v>44</v>
      </c>
      <c r="T3" s="2" t="s">
        <v>220</v>
      </c>
      <c r="U3" s="2" t="s">
        <v>46</v>
      </c>
      <c r="V3" s="2" t="s">
        <v>47</v>
      </c>
    </row>
  </sheetData>
  <mergeCells count="2">
    <mergeCell ref="A2:E2"/>
    <mergeCell ref="F2:J2"/>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3"/>
  <dimension ref="A1:AE131"/>
  <sheetViews>
    <sheetView zoomScale="85" zoomScaleNormal="85" workbookViewId="0" topLeftCell="A1">
      <selection activeCell="K48" sqref="K48"/>
    </sheetView>
  </sheetViews>
  <sheetFormatPr defaultColWidth="9.140625" defaultRowHeight="12.75"/>
  <cols>
    <col min="1" max="4" width="9.140625" style="3" customWidth="1"/>
    <col min="5" max="5" width="16.421875" style="3" bestFit="1" customWidth="1"/>
    <col min="6" max="13" width="9.140625" style="3" customWidth="1"/>
    <col min="15" max="15" width="10.28125" style="3" customWidth="1"/>
    <col min="16" max="31" width="9.140625" style="3" customWidth="1"/>
  </cols>
  <sheetData>
    <row r="1" spans="1:30" ht="13.5" thickTop="1">
      <c r="A1" s="2" t="s">
        <v>27</v>
      </c>
      <c r="B1" s="2" t="s">
        <v>28</v>
      </c>
      <c r="C1" s="2" t="s">
        <v>29</v>
      </c>
      <c r="D1" s="2"/>
      <c r="E1" s="2" t="s">
        <v>208</v>
      </c>
      <c r="F1" s="2" t="s">
        <v>31</v>
      </c>
      <c r="G1" s="2" t="s">
        <v>32</v>
      </c>
      <c r="H1" s="2" t="s">
        <v>57</v>
      </c>
      <c r="I1" s="2"/>
      <c r="J1" s="2" t="s">
        <v>138</v>
      </c>
      <c r="M1" s="2"/>
      <c r="N1" s="1"/>
      <c r="O1" s="51" t="s">
        <v>140</v>
      </c>
      <c r="P1" s="52"/>
      <c r="Q1" s="52"/>
      <c r="R1" s="52"/>
      <c r="S1" s="52"/>
      <c r="T1" s="52"/>
      <c r="U1" s="52"/>
      <c r="V1" s="52"/>
      <c r="W1" s="52"/>
      <c r="X1" s="53" t="s">
        <v>74</v>
      </c>
      <c r="Y1" s="52"/>
      <c r="Z1" s="52"/>
      <c r="AA1" s="52"/>
      <c r="AB1" s="52"/>
      <c r="AC1" s="52"/>
      <c r="AD1" s="54"/>
    </row>
    <row r="2" spans="1:30" ht="12.75">
      <c r="A2" s="3" t="s">
        <v>0</v>
      </c>
      <c r="B2" s="3">
        <v>1</v>
      </c>
      <c r="C2" s="3" t="str">
        <f>INDEX(Values!A2:A7,$B$2)</f>
        <v>Warrior</v>
      </c>
      <c r="E2" s="3" t="s">
        <v>58</v>
      </c>
      <c r="F2" s="3">
        <f>Form!$D$14</f>
        <v>0</v>
      </c>
      <c r="G2" s="3">
        <f>Form!$E$14</f>
        <v>0</v>
      </c>
      <c r="H2" s="3">
        <f>Form!$E$17</f>
        <v>0</v>
      </c>
      <c r="J2" s="2" t="s">
        <v>22</v>
      </c>
      <c r="K2" s="3" t="b">
        <v>0</v>
      </c>
      <c r="L2" s="2" t="s">
        <v>36</v>
      </c>
      <c r="M2" s="3">
        <v>1</v>
      </c>
      <c r="N2">
        <f>INDEX('Melee Weapons'!A2:A12,$M$2)</f>
        <v>0</v>
      </c>
      <c r="O2" s="55" t="s">
        <v>158</v>
      </c>
      <c r="P2" s="56">
        <f>$C$5+IF($C$5=18,1,0)*(2+(INT($C$6/10)*10))-IF($C$5=18,1,0)*IF($C$6&gt;229,1,0)*(INT(($C$6-220)/10)*10)</f>
        <v>10</v>
      </c>
      <c r="Q2" s="56"/>
      <c r="R2" s="56"/>
      <c r="S2" s="57">
        <v>0</v>
      </c>
      <c r="T2" s="57">
        <v>1</v>
      </c>
      <c r="U2" s="57">
        <v>2</v>
      </c>
      <c r="V2" s="57">
        <v>3</v>
      </c>
      <c r="W2" s="57">
        <v>4</v>
      </c>
      <c r="X2" s="57">
        <v>5</v>
      </c>
      <c r="Y2" s="57">
        <v>6</v>
      </c>
      <c r="Z2" s="57">
        <v>7</v>
      </c>
      <c r="AA2" s="57">
        <v>8</v>
      </c>
      <c r="AB2" s="57">
        <v>9</v>
      </c>
      <c r="AC2" s="57">
        <v>10</v>
      </c>
      <c r="AD2" s="58">
        <v>11</v>
      </c>
    </row>
    <row r="3" spans="1:30" ht="12.75">
      <c r="A3" s="3" t="s">
        <v>1</v>
      </c>
      <c r="B3" s="3">
        <v>1</v>
      </c>
      <c r="C3" s="3" t="str">
        <f>INDEX(Values!B2:B11,$B$3)</f>
        <v>Human</v>
      </c>
      <c r="E3" s="3" t="s">
        <v>146</v>
      </c>
      <c r="F3" s="3" t="s">
        <v>147</v>
      </c>
      <c r="G3" s="3" t="s">
        <v>147</v>
      </c>
      <c r="H3" s="3">
        <f>Form!D28</f>
        <v>0</v>
      </c>
      <c r="J3" s="2" t="s">
        <v>24</v>
      </c>
      <c r="K3" s="3" t="b">
        <v>0</v>
      </c>
      <c r="L3" s="2" t="s">
        <v>27</v>
      </c>
      <c r="M3" s="3">
        <v>1</v>
      </c>
      <c r="N3" t="str">
        <f>INDEX(Values!C2:C4,$M$3)</f>
        <v>Edged</v>
      </c>
      <c r="O3" s="55" t="s">
        <v>159</v>
      </c>
      <c r="P3" s="56">
        <f>IF($C$2="Warrior",3,0)+IF($C$2="Mage",4,0)+IF($C$2="Priest",3.5,0)+IF($C$2="Rogue",3,0)+IF($C$2="Ranger",3.5,0)+IF($C$2="Mage",3,0)</f>
        <v>3</v>
      </c>
      <c r="Q3" s="56"/>
      <c r="R3" s="57">
        <v>0</v>
      </c>
      <c r="S3" s="59">
        <v>1</v>
      </c>
      <c r="T3" s="59">
        <v>1</v>
      </c>
      <c r="U3" s="59">
        <v>1</v>
      </c>
      <c r="V3" s="59">
        <v>1</v>
      </c>
      <c r="W3" s="59">
        <v>1</v>
      </c>
      <c r="X3" s="59">
        <v>1</v>
      </c>
      <c r="Y3" s="59">
        <v>2</v>
      </c>
      <c r="Z3" s="59">
        <v>2</v>
      </c>
      <c r="AA3" s="60">
        <v>2</v>
      </c>
      <c r="AB3" s="59">
        <v>2</v>
      </c>
      <c r="AC3" s="59">
        <v>2</v>
      </c>
      <c r="AD3" s="61">
        <v>3</v>
      </c>
    </row>
    <row r="4" spans="1:30" ht="12.75">
      <c r="A4" s="3" t="s">
        <v>2</v>
      </c>
      <c r="B4" s="3">
        <f>Form!$C$4</f>
        <v>1</v>
      </c>
      <c r="C4" s="3">
        <f>Form!$C$4</f>
        <v>1</v>
      </c>
      <c r="E4" s="3" t="s">
        <v>38</v>
      </c>
      <c r="F4" s="3">
        <f>Form!D36</f>
        <v>0</v>
      </c>
      <c r="G4" s="3">
        <f>Form!E36</f>
        <v>0</v>
      </c>
      <c r="H4" s="3">
        <f>Form!F36</f>
        <v>0</v>
      </c>
      <c r="J4" s="2" t="s">
        <v>25</v>
      </c>
      <c r="K4" s="3" t="b">
        <v>0</v>
      </c>
      <c r="L4" s="2" t="s">
        <v>66</v>
      </c>
      <c r="M4" s="3">
        <v>12</v>
      </c>
      <c r="O4" s="55" t="s">
        <v>160</v>
      </c>
      <c r="P4" s="56">
        <f>IF($C$2="Warrior",0.5,0)+IF($C$2="Mage",0.2,0)+IF($C$2="Priest",0.3,0)+IF($C$2="Rogue",0.3,0)+IF($C$2="Ranger",0.4,0)+IF($C$2="Paladin",0.4,0)</f>
        <v>0.5</v>
      </c>
      <c r="Q4" s="56"/>
      <c r="R4" s="57">
        <v>1</v>
      </c>
      <c r="S4" s="59">
        <v>1</v>
      </c>
      <c r="T4" s="59">
        <v>1</v>
      </c>
      <c r="U4" s="59">
        <v>1</v>
      </c>
      <c r="V4" s="59">
        <v>1</v>
      </c>
      <c r="W4" s="59">
        <v>2</v>
      </c>
      <c r="X4" s="59">
        <v>2</v>
      </c>
      <c r="Y4" s="59">
        <v>3</v>
      </c>
      <c r="Z4" s="59">
        <v>3</v>
      </c>
      <c r="AA4" s="60">
        <v>3</v>
      </c>
      <c r="AB4" s="59">
        <v>4</v>
      </c>
      <c r="AC4" s="59">
        <v>4</v>
      </c>
      <c r="AD4" s="61">
        <v>4</v>
      </c>
    </row>
    <row r="5" spans="1:30" ht="12.75">
      <c r="A5" s="3" t="s">
        <v>69</v>
      </c>
      <c r="B5" s="3">
        <f>Form!$D$4</f>
        <v>10</v>
      </c>
      <c r="C5" s="3">
        <f>IF(SUM(Form!D4,Form!D20,Form!H28,Form!G36,Form!G39,Form!G42,Form!G45,Form!G48,Form!G51,Form!G54,Form!G57,Form!G60,Form!G63)&gt;18,18,SUM(Form!D4,Form!D20,Form!H28,Form!G36,Form!G39,Form!G42,Form!G45,Form!G48,Form!G51,Form!G54,Form!G57,Form!G60,Form!G63))</f>
        <v>10</v>
      </c>
      <c r="E5" s="3" t="s">
        <v>39</v>
      </c>
      <c r="F5" s="3">
        <f>Form!D39</f>
        <v>0</v>
      </c>
      <c r="G5" s="3">
        <f>Form!E39</f>
        <v>0</v>
      </c>
      <c r="H5" s="3">
        <f>Form!F39</f>
        <v>0</v>
      </c>
      <c r="J5" s="2" t="s">
        <v>23</v>
      </c>
      <c r="K5" s="3" t="b">
        <v>0</v>
      </c>
      <c r="L5" s="2" t="s">
        <v>75</v>
      </c>
      <c r="M5" s="3">
        <f>INDEX(S3:AD14,P5+1,P6+1,1)-IF(C2="Warrior",0,1)*IF(INDEX(S3:AD14,P5+1,P6+1,1)=6,1,0)</f>
        <v>1</v>
      </c>
      <c r="O5" s="55" t="s">
        <v>68</v>
      </c>
      <c r="P5" s="56">
        <f>IF(INT($P$2/IF(($M$4/10)&lt;$P$3,$P$3,($M$4/10))*$P$4)&gt;11,11,INT($P$2/IF(($M$4/10)&lt;$P$3,$P$3,($M$4/10))*$P$4))</f>
        <v>1</v>
      </c>
      <c r="Q5" s="56"/>
      <c r="R5" s="57">
        <v>2</v>
      </c>
      <c r="S5" s="59">
        <v>1</v>
      </c>
      <c r="T5" s="59">
        <v>1</v>
      </c>
      <c r="U5" s="59">
        <v>2</v>
      </c>
      <c r="V5" s="59">
        <v>2</v>
      </c>
      <c r="W5" s="59">
        <v>3</v>
      </c>
      <c r="X5" s="59">
        <v>3</v>
      </c>
      <c r="Y5" s="59">
        <v>4</v>
      </c>
      <c r="Z5" s="59">
        <v>4</v>
      </c>
      <c r="AA5" s="60">
        <v>4</v>
      </c>
      <c r="AB5" s="59">
        <v>5</v>
      </c>
      <c r="AC5" s="59">
        <v>5</v>
      </c>
      <c r="AD5" s="61">
        <v>5</v>
      </c>
    </row>
    <row r="6" spans="1:30" ht="12.75">
      <c r="A6" s="3" t="s">
        <v>70</v>
      </c>
      <c r="B6" s="3">
        <v>0</v>
      </c>
      <c r="C6" s="3">
        <f>IF($B$5=18,$B$6,0)+IF($C$5=18,(SUM(Form!D4,Form!D20,Form!H28,Form!G36,Form!G39,Form!G42,Form!G45,Form!G48,Form!G51,Form!G54,Form!G57,Form!G60,Form!G63)-18)*10,0)</f>
        <v>0</v>
      </c>
      <c r="E6" s="3" t="s">
        <v>40</v>
      </c>
      <c r="F6" s="3">
        <f>Form!D42</f>
        <v>0</v>
      </c>
      <c r="G6" s="3">
        <f>Form!E42</f>
        <v>0</v>
      </c>
      <c r="H6" s="3">
        <f>Form!F42</f>
        <v>0</v>
      </c>
      <c r="J6" s="2" t="s">
        <v>54</v>
      </c>
      <c r="K6" s="3" t="b">
        <v>0</v>
      </c>
      <c r="L6" s="2" t="s">
        <v>76</v>
      </c>
      <c r="M6" s="3">
        <f>Form!$C$20</f>
        <v>0</v>
      </c>
      <c r="O6" s="55" t="s">
        <v>74</v>
      </c>
      <c r="P6" s="56">
        <f>IF($C$7&gt;9,1,0)+IF($C$7=18,1,0)*(IF($C$8&gt;9,1,0)+IF($C$8&gt;49,1,0)+IF($C$8&gt;69,1,0)+IF($C$8&gt;89,1,0)+IF($C$8&gt;99,1,0)+IF($C$8&gt;109,1,0)+IF($C$8&gt;119,1,0)+IF($C$8&gt;129,1,0)+IF($C$8&gt;139,1,0)+IF($C$8&gt;149,1,0))</f>
        <v>1</v>
      </c>
      <c r="Q6" s="56"/>
      <c r="R6" s="57">
        <v>3</v>
      </c>
      <c r="S6" s="59">
        <v>1</v>
      </c>
      <c r="T6" s="59">
        <v>2</v>
      </c>
      <c r="U6" s="59">
        <v>2</v>
      </c>
      <c r="V6" s="59">
        <v>3</v>
      </c>
      <c r="W6" s="59">
        <v>3</v>
      </c>
      <c r="X6" s="59">
        <v>4</v>
      </c>
      <c r="Y6" s="59">
        <v>4</v>
      </c>
      <c r="Z6" s="59">
        <v>4</v>
      </c>
      <c r="AA6" s="60">
        <v>5</v>
      </c>
      <c r="AB6" s="59">
        <v>5</v>
      </c>
      <c r="AC6" s="59">
        <v>5</v>
      </c>
      <c r="AD6" s="61">
        <v>5</v>
      </c>
    </row>
    <row r="7" spans="1:30" ht="12.75">
      <c r="A7" s="3" t="s">
        <v>71</v>
      </c>
      <c r="B7" s="3">
        <f>Form!$E$4</f>
        <v>10</v>
      </c>
      <c r="C7" s="3">
        <f>IF(SUM(Form!E4,Form!E20,Form!H31,Form!H36,Form!H39,Form!H42,Form!H45,Form!H48,Form!H51,Form!H54,Form!H57,Form!H60,Form!H63)&gt;18,18,SUM(Form!E4,Form!E20,Form!H31,Form!H36,Form!H39,Form!H42,Form!H45,Form!H48,Form!H51,Form!H54,Form!H57,Form!H60,Form!H63))</f>
        <v>10</v>
      </c>
      <c r="E7" s="3" t="s">
        <v>41</v>
      </c>
      <c r="F7" s="3">
        <f>Form!D45</f>
        <v>0</v>
      </c>
      <c r="G7" s="3">
        <f>Form!E45</f>
        <v>0</v>
      </c>
      <c r="H7" s="3">
        <f>Form!F45</f>
        <v>0</v>
      </c>
      <c r="J7" s="2" t="s">
        <v>50</v>
      </c>
      <c r="K7" s="3" t="b">
        <v>0</v>
      </c>
      <c r="L7" s="2" t="s">
        <v>67</v>
      </c>
      <c r="M7" s="3">
        <f>SUM(M5:M6)</f>
        <v>1</v>
      </c>
      <c r="O7" s="62"/>
      <c r="P7" s="56"/>
      <c r="Q7" s="56"/>
      <c r="R7" s="57">
        <v>4</v>
      </c>
      <c r="S7" s="59">
        <v>1</v>
      </c>
      <c r="T7" s="59">
        <v>2</v>
      </c>
      <c r="U7" s="59">
        <v>2</v>
      </c>
      <c r="V7" s="59">
        <v>3</v>
      </c>
      <c r="W7" s="59">
        <v>3</v>
      </c>
      <c r="X7" s="59">
        <v>4</v>
      </c>
      <c r="Y7" s="59">
        <v>4</v>
      </c>
      <c r="Z7" s="59">
        <v>5</v>
      </c>
      <c r="AA7" s="60">
        <v>5</v>
      </c>
      <c r="AB7" s="59">
        <v>5</v>
      </c>
      <c r="AC7" s="59">
        <v>5</v>
      </c>
      <c r="AD7" s="61">
        <v>5</v>
      </c>
    </row>
    <row r="8" spans="1:30" ht="12.75">
      <c r="A8" s="3" t="s">
        <v>72</v>
      </c>
      <c r="B8" s="3">
        <v>0</v>
      </c>
      <c r="C8" s="3">
        <f>IF($B$7=18,$B$8,0)+IF($C$7=18,(SUM(Form!E4,Form!E20,Form!H31,Form!H36,Form!H39,Form!H42,Form!H45,Form!H48,Form!H51,Form!H54,Form!H57,Form!H60,Form!H63)-18)*10,0)</f>
        <v>0</v>
      </c>
      <c r="E8" s="3" t="s">
        <v>42</v>
      </c>
      <c r="F8" s="3">
        <f>Form!D48</f>
        <v>0</v>
      </c>
      <c r="G8" s="3">
        <f>Form!E48</f>
        <v>0</v>
      </c>
      <c r="H8" s="3">
        <f>Form!F48</f>
        <v>0</v>
      </c>
      <c r="J8" s="2" t="s">
        <v>55</v>
      </c>
      <c r="K8" s="3" t="b">
        <v>0</v>
      </c>
      <c r="L8" s="2" t="s">
        <v>106</v>
      </c>
      <c r="M8" s="3">
        <f>Form!$C$7</f>
        <v>30</v>
      </c>
      <c r="O8" s="62"/>
      <c r="P8" s="56"/>
      <c r="Q8" s="57" t="s">
        <v>68</v>
      </c>
      <c r="R8" s="57">
        <v>5</v>
      </c>
      <c r="S8" s="59">
        <v>2</v>
      </c>
      <c r="T8" s="59">
        <v>2</v>
      </c>
      <c r="U8" s="59">
        <v>3</v>
      </c>
      <c r="V8" s="59">
        <v>3</v>
      </c>
      <c r="W8" s="59">
        <v>4</v>
      </c>
      <c r="X8" s="59">
        <v>4</v>
      </c>
      <c r="Y8" s="59">
        <v>5</v>
      </c>
      <c r="Z8" s="59">
        <v>5</v>
      </c>
      <c r="AA8" s="60">
        <v>5</v>
      </c>
      <c r="AB8" s="59">
        <v>5</v>
      </c>
      <c r="AC8" s="59">
        <v>5</v>
      </c>
      <c r="AD8" s="61">
        <v>6</v>
      </c>
    </row>
    <row r="9" spans="5:30" ht="12.75">
      <c r="E9" s="3" t="s">
        <v>100</v>
      </c>
      <c r="F9" s="3">
        <f>Form!D51</f>
        <v>0</v>
      </c>
      <c r="G9" s="3">
        <f>Form!E51</f>
        <v>0</v>
      </c>
      <c r="H9" s="3">
        <f>Form!F51</f>
        <v>0</v>
      </c>
      <c r="J9" s="2" t="s">
        <v>48</v>
      </c>
      <c r="K9" s="3" t="b">
        <v>0</v>
      </c>
      <c r="L9" s="2" t="s">
        <v>116</v>
      </c>
      <c r="M9" s="3">
        <f>Form!C14</f>
        <v>1</v>
      </c>
      <c r="O9" s="62"/>
      <c r="P9" s="56"/>
      <c r="Q9" s="56"/>
      <c r="R9" s="57">
        <v>6</v>
      </c>
      <c r="S9" s="59">
        <v>2</v>
      </c>
      <c r="T9" s="59">
        <v>2</v>
      </c>
      <c r="U9" s="59">
        <v>3</v>
      </c>
      <c r="V9" s="59">
        <v>3</v>
      </c>
      <c r="W9" s="59">
        <v>4</v>
      </c>
      <c r="X9" s="59">
        <v>4</v>
      </c>
      <c r="Y9" s="59">
        <v>5</v>
      </c>
      <c r="Z9" s="59">
        <v>5</v>
      </c>
      <c r="AA9" s="60">
        <v>5</v>
      </c>
      <c r="AB9" s="59">
        <v>5</v>
      </c>
      <c r="AC9" s="59">
        <v>5</v>
      </c>
      <c r="AD9" s="61">
        <v>6</v>
      </c>
    </row>
    <row r="10" spans="1:30" ht="12.75">
      <c r="A10" s="2" t="s">
        <v>177</v>
      </c>
      <c r="B10" s="2" t="s">
        <v>178</v>
      </c>
      <c r="C10" s="2" t="s">
        <v>179</v>
      </c>
      <c r="E10" s="3" t="s">
        <v>101</v>
      </c>
      <c r="F10" s="3">
        <f>Form!D54</f>
        <v>0</v>
      </c>
      <c r="G10" s="3">
        <f>Form!E54</f>
        <v>0</v>
      </c>
      <c r="H10" s="3">
        <f>Form!F54</f>
        <v>0</v>
      </c>
      <c r="J10" s="2" t="s">
        <v>51</v>
      </c>
      <c r="K10" s="3" t="b">
        <v>0</v>
      </c>
      <c r="L10" s="2" t="s">
        <v>117</v>
      </c>
      <c r="M10" s="3">
        <f>Form!C17</f>
        <v>4</v>
      </c>
      <c r="O10" s="62"/>
      <c r="P10" s="56"/>
      <c r="Q10" s="56"/>
      <c r="R10" s="57">
        <v>7</v>
      </c>
      <c r="S10" s="59">
        <v>2</v>
      </c>
      <c r="T10" s="59">
        <v>3</v>
      </c>
      <c r="U10" s="59">
        <v>3</v>
      </c>
      <c r="V10" s="59">
        <v>4</v>
      </c>
      <c r="W10" s="59">
        <v>4</v>
      </c>
      <c r="X10" s="59">
        <v>4</v>
      </c>
      <c r="Y10" s="59">
        <v>5</v>
      </c>
      <c r="Z10" s="59">
        <v>5</v>
      </c>
      <c r="AA10" s="60">
        <v>5</v>
      </c>
      <c r="AB10" s="59">
        <v>5</v>
      </c>
      <c r="AC10" s="59">
        <v>5</v>
      </c>
      <c r="AD10" s="61">
        <v>6</v>
      </c>
    </row>
    <row r="11" spans="1:30" ht="12.75">
      <c r="A11" s="3">
        <v>-50</v>
      </c>
      <c r="B11" s="3">
        <v>1</v>
      </c>
      <c r="C11" s="162">
        <f aca="true" t="shared" si="0" ref="C11:C60">B11/100*10</f>
        <v>0.1</v>
      </c>
      <c r="E11" s="3" t="s">
        <v>102</v>
      </c>
      <c r="F11" s="3">
        <f>Form!D57</f>
        <v>0</v>
      </c>
      <c r="G11" s="3">
        <f>Form!E57</f>
        <v>0</v>
      </c>
      <c r="H11" s="3">
        <f>Form!F57</f>
        <v>0</v>
      </c>
      <c r="J11" s="2" t="s">
        <v>52</v>
      </c>
      <c r="K11" s="3" t="b">
        <v>0</v>
      </c>
      <c r="O11" s="62"/>
      <c r="P11" s="56"/>
      <c r="Q11" s="56"/>
      <c r="R11" s="57">
        <v>8</v>
      </c>
      <c r="S11" s="59">
        <v>3</v>
      </c>
      <c r="T11" s="59">
        <v>3</v>
      </c>
      <c r="U11" s="59">
        <v>3</v>
      </c>
      <c r="V11" s="59">
        <v>4</v>
      </c>
      <c r="W11" s="59">
        <v>4</v>
      </c>
      <c r="X11" s="59">
        <v>4</v>
      </c>
      <c r="Y11" s="59">
        <v>5</v>
      </c>
      <c r="Z11" s="59">
        <v>5</v>
      </c>
      <c r="AA11" s="60">
        <v>5</v>
      </c>
      <c r="AB11" s="59">
        <v>5</v>
      </c>
      <c r="AC11" s="59">
        <v>6</v>
      </c>
      <c r="AD11" s="61">
        <v>6</v>
      </c>
    </row>
    <row r="12" spans="1:30" ht="12.75">
      <c r="A12" s="3">
        <f>A11+1</f>
        <v>-49</v>
      </c>
      <c r="B12" s="3">
        <v>1</v>
      </c>
      <c r="C12" s="162">
        <f t="shared" si="0"/>
        <v>0.1</v>
      </c>
      <c r="E12" s="3" t="s">
        <v>46</v>
      </c>
      <c r="F12" s="3">
        <f>Form!D60</f>
        <v>0</v>
      </c>
      <c r="G12" s="3">
        <f>Form!E60</f>
        <v>0</v>
      </c>
      <c r="H12" s="3">
        <f>Form!F60</f>
        <v>0</v>
      </c>
      <c r="J12" s="2" t="s">
        <v>53</v>
      </c>
      <c r="K12" s="3" t="b">
        <v>0</v>
      </c>
      <c r="O12" s="62"/>
      <c r="P12" s="56"/>
      <c r="Q12" s="56"/>
      <c r="R12" s="57">
        <v>9</v>
      </c>
      <c r="S12" s="59">
        <v>3</v>
      </c>
      <c r="T12" s="59">
        <v>3</v>
      </c>
      <c r="U12" s="59">
        <v>4</v>
      </c>
      <c r="V12" s="59">
        <v>4</v>
      </c>
      <c r="W12" s="59">
        <v>4</v>
      </c>
      <c r="X12" s="59">
        <v>4</v>
      </c>
      <c r="Y12" s="59">
        <v>5</v>
      </c>
      <c r="Z12" s="59">
        <v>5</v>
      </c>
      <c r="AA12" s="60">
        <v>5</v>
      </c>
      <c r="AB12" s="59">
        <v>5</v>
      </c>
      <c r="AC12" s="59">
        <v>6</v>
      </c>
      <c r="AD12" s="61">
        <v>6</v>
      </c>
    </row>
    <row r="13" spans="1:30" ht="12.75">
      <c r="A13" s="3">
        <f>A12+1</f>
        <v>-48</v>
      </c>
      <c r="B13" s="3">
        <v>1</v>
      </c>
      <c r="C13" s="162">
        <f t="shared" si="0"/>
        <v>0.1</v>
      </c>
      <c r="E13" s="3" t="s">
        <v>47</v>
      </c>
      <c r="F13" s="3">
        <f>Form!D63</f>
        <v>0</v>
      </c>
      <c r="G13" s="3">
        <f>Form!E63</f>
        <v>0</v>
      </c>
      <c r="H13" s="3">
        <f>Form!F63</f>
        <v>0</v>
      </c>
      <c r="J13" s="2" t="s">
        <v>49</v>
      </c>
      <c r="K13" s="3" t="b">
        <v>0</v>
      </c>
      <c r="O13" s="62"/>
      <c r="P13" s="56"/>
      <c r="Q13" s="56"/>
      <c r="R13" s="57">
        <v>10</v>
      </c>
      <c r="S13" s="59">
        <v>3</v>
      </c>
      <c r="T13" s="59">
        <v>3</v>
      </c>
      <c r="U13" s="59">
        <v>4</v>
      </c>
      <c r="V13" s="59">
        <v>4</v>
      </c>
      <c r="W13" s="59">
        <v>4</v>
      </c>
      <c r="X13" s="59">
        <v>4</v>
      </c>
      <c r="Y13" s="59">
        <v>5</v>
      </c>
      <c r="Z13" s="59">
        <v>5</v>
      </c>
      <c r="AA13" s="60">
        <v>5</v>
      </c>
      <c r="AB13" s="59">
        <v>6</v>
      </c>
      <c r="AC13" s="59">
        <v>6</v>
      </c>
      <c r="AD13" s="61">
        <v>6</v>
      </c>
    </row>
    <row r="14" spans="1:30" ht="13.5" thickBot="1">
      <c r="A14" s="3">
        <f aca="true" t="shared" si="1" ref="A14:A77">A13+1</f>
        <v>-47</v>
      </c>
      <c r="B14" s="3">
        <v>1</v>
      </c>
      <c r="C14" s="162">
        <f t="shared" si="0"/>
        <v>0.1</v>
      </c>
      <c r="E14" s="3" t="s">
        <v>103</v>
      </c>
      <c r="F14" s="3">
        <f>SUM(F2:F13)</f>
        <v>0</v>
      </c>
      <c r="G14" s="3">
        <f>SUM(G2:G13)</f>
        <v>0</v>
      </c>
      <c r="H14" s="3">
        <f>SUM(H2:H13)+IF(K22,10,0)</f>
        <v>0</v>
      </c>
      <c r="J14" s="2" t="s">
        <v>56</v>
      </c>
      <c r="K14" s="3" t="b">
        <v>0</v>
      </c>
      <c r="O14" s="63"/>
      <c r="P14" s="64"/>
      <c r="Q14" s="64"/>
      <c r="R14" s="65">
        <v>11</v>
      </c>
      <c r="S14" s="66">
        <v>3</v>
      </c>
      <c r="T14" s="66">
        <v>3</v>
      </c>
      <c r="U14" s="66">
        <v>4</v>
      </c>
      <c r="V14" s="66">
        <v>4</v>
      </c>
      <c r="W14" s="66">
        <v>4</v>
      </c>
      <c r="X14" s="66">
        <v>4</v>
      </c>
      <c r="Y14" s="66">
        <v>5</v>
      </c>
      <c r="Z14" s="66">
        <v>5</v>
      </c>
      <c r="AA14" s="67">
        <v>6</v>
      </c>
      <c r="AB14" s="66">
        <v>6</v>
      </c>
      <c r="AC14" s="66">
        <v>6</v>
      </c>
      <c r="AD14" s="68">
        <v>6</v>
      </c>
    </row>
    <row r="15" spans="1:30" ht="13.5" thickTop="1">
      <c r="A15" s="3">
        <f t="shared" si="1"/>
        <v>-46</v>
      </c>
      <c r="B15" s="3">
        <v>1</v>
      </c>
      <c r="C15" s="162">
        <f t="shared" si="0"/>
        <v>0.1</v>
      </c>
      <c r="J15" s="2" t="s">
        <v>95</v>
      </c>
      <c r="K15" s="3" t="b">
        <v>0</v>
      </c>
      <c r="O15" s="69" t="s">
        <v>141</v>
      </c>
      <c r="P15" s="70"/>
      <c r="Q15" s="70"/>
      <c r="R15" s="70"/>
      <c r="S15" s="70"/>
      <c r="T15" s="71"/>
      <c r="U15" s="145" t="s">
        <v>142</v>
      </c>
      <c r="V15" s="80"/>
      <c r="W15" s="80"/>
      <c r="X15" s="80"/>
      <c r="Y15" s="80"/>
      <c r="Z15" s="80"/>
      <c r="AA15" s="80"/>
      <c r="AB15" s="80"/>
      <c r="AC15" s="80"/>
      <c r="AD15" s="81"/>
    </row>
    <row r="16" spans="1:30" ht="12.75">
      <c r="A16" s="3">
        <f t="shared" si="1"/>
        <v>-45</v>
      </c>
      <c r="B16" s="3">
        <v>1</v>
      </c>
      <c r="C16" s="162">
        <f t="shared" si="0"/>
        <v>0.1</v>
      </c>
      <c r="J16" s="2" t="s">
        <v>96</v>
      </c>
      <c r="K16" s="3" t="b">
        <v>0</v>
      </c>
      <c r="O16" s="72" t="s">
        <v>82</v>
      </c>
      <c r="P16" s="73">
        <f>IF($C$2="Warrior",70,0)+IF($C$2="Mage",34,0)+IF($C$2="Priest",48,0)+IF($C$2="Rogue",60,0)+IF($C$2="Ranger",56,0)+IF($C$2="Paladin",68,0)</f>
        <v>70</v>
      </c>
      <c r="Q16" s="74" t="s">
        <v>79</v>
      </c>
      <c r="R16" s="73">
        <f>IF($C$5=3,-1,0)+IF($C$5&lt;5,-1,0)+IF($C$5&lt;7,-1,0)+IF($C$5=18,1,0)+IF($C$6&gt;69,1,0)*INT(($C$6-60)/10)-IF($C$6&gt;209,1,0)*INT(($C$6-200)/10)</f>
        <v>0</v>
      </c>
      <c r="S16" s="74" t="s">
        <v>92</v>
      </c>
      <c r="T16" s="75">
        <f>4+IF($C$5&gt;3,1,0)+IF($C$5&gt;4,1,0)*INT($C$5-4)+IF($C$5&gt;7,1,0)*INT($C$5-7)+IF($C$5=18,1,0)*IF($C$6&gt;19,5,0)*INT(($C$6-9)/10)+IF($C$6&gt;99,-5,0)*INT(($C$6-89)/10)+IF($C$6&gt;99,10,0)+IF($C$6&gt;149,10,0)+IF($C$6&gt;199,10,0)</f>
        <v>14</v>
      </c>
      <c r="U16" s="82" t="s">
        <v>105</v>
      </c>
      <c r="V16" s="83">
        <f>IF($K$20,$T$23/2,$T$23)</f>
        <v>74.5</v>
      </c>
      <c r="W16" s="83" t="s">
        <v>107</v>
      </c>
      <c r="X16" s="83">
        <f>$M$4+$R$23*5+$C$4*3</f>
        <v>15</v>
      </c>
      <c r="Y16" s="83"/>
      <c r="Z16" s="83"/>
      <c r="AA16" s="83"/>
      <c r="AB16" s="83"/>
      <c r="AC16" s="83"/>
      <c r="AD16" s="84"/>
    </row>
    <row r="17" spans="1:30" ht="12.75">
      <c r="A17" s="3">
        <f t="shared" si="1"/>
        <v>-44</v>
      </c>
      <c r="B17" s="3">
        <v>1</v>
      </c>
      <c r="C17" s="162">
        <f t="shared" si="0"/>
        <v>0.1</v>
      </c>
      <c r="J17" s="2" t="s">
        <v>97</v>
      </c>
      <c r="K17" s="3" t="b">
        <v>0</v>
      </c>
      <c r="O17" s="72" t="s">
        <v>77</v>
      </c>
      <c r="P17" s="73">
        <f>IF($C$3="Half-Elf",-1,0)+IF($C$3="Elf",-5,0)+IF($C$3="Hobbit",-10,0)+IF($C$3="Gnome",-8,0)+IF($C$3="Dwarf",15,0)+IF($C$3="Half-Orc",12,0)+IF($C$3="Half-Troll",20,0)+IF($C$3="Dunadan",15,0)+IF($C$3="High-Elf",10,0)</f>
        <v>0</v>
      </c>
      <c r="Q17" s="74" t="s">
        <v>80</v>
      </c>
      <c r="R17" s="73">
        <f>IF($C$7=3,-1,0)+IF($C$7&lt;6,-1,0)+IF($C$7&lt;8,-1,0)+IF($C$7&gt;15,1,0)+IF($C$7&gt;16,1,0)+IF($C$7=18,1,0)+IF($C$8&gt;49,1,0)+IF($C$8&gt;89,1,0)*INT(($C$8-80)/10)-IF($C$8&gt;209,1,0)*INT(($C$8-200)/10)-IF($C$8&gt;139,1,0)</f>
        <v>0</v>
      </c>
      <c r="S17" s="73"/>
      <c r="T17" s="75"/>
      <c r="U17" s="82" t="s">
        <v>112</v>
      </c>
      <c r="V17" s="83">
        <f>0.05+0.9*IF($V$16&lt;$M$8*3/4,0,($V$16-$M$8*3/4)/$V$16)</f>
        <v>0.6781879194630873</v>
      </c>
      <c r="W17" s="83" t="s">
        <v>111</v>
      </c>
      <c r="X17" s="83">
        <f>IF($X$16/5000&lt;0,0,$X$16/5000)</f>
        <v>0.003</v>
      </c>
      <c r="Y17" s="83"/>
      <c r="Z17" s="83"/>
      <c r="AA17" s="83"/>
      <c r="AB17" s="83"/>
      <c r="AC17" s="83"/>
      <c r="AD17" s="84"/>
    </row>
    <row r="18" spans="1:30" ht="12.75">
      <c r="A18" s="3">
        <f t="shared" si="1"/>
        <v>-43</v>
      </c>
      <c r="B18" s="3">
        <v>1</v>
      </c>
      <c r="C18" s="162">
        <f t="shared" si="0"/>
        <v>0.1</v>
      </c>
      <c r="J18" s="2" t="s">
        <v>98</v>
      </c>
      <c r="K18" s="3" t="b">
        <v>0</v>
      </c>
      <c r="O18" s="72" t="s">
        <v>78</v>
      </c>
      <c r="P18" s="73">
        <f>$B$4*(IF($C$2="Warrior",4.5,0)+IF($C$2="Mage",1.5,0)+IF($C$2="Priest",2,0)+IF($C$2="Rogue",4,0)+IF($C$2="Ranger",3,0)+IF($C$2="Paladin",3.5,0))</f>
        <v>4.5</v>
      </c>
      <c r="Q18" s="74" t="s">
        <v>83</v>
      </c>
      <c r="R18" s="73">
        <f>$F$14</f>
        <v>0</v>
      </c>
      <c r="S18" s="73"/>
      <c r="T18" s="75"/>
      <c r="U18" s="82"/>
      <c r="V18" s="83"/>
      <c r="W18" s="83" t="s">
        <v>108</v>
      </c>
      <c r="X18" s="83">
        <f>IF($Y$18&gt;0,$Y$18/650,0)</f>
        <v>0.5953846153846154</v>
      </c>
      <c r="Y18" s="83">
        <f>IF(399-$M$4&gt;0,399-$M$4,0)</f>
        <v>387</v>
      </c>
      <c r="Z18" s="83"/>
      <c r="AA18" s="83"/>
      <c r="AB18" s="83"/>
      <c r="AC18" s="83"/>
      <c r="AD18" s="84"/>
    </row>
    <row r="19" spans="1:30" ht="12.75">
      <c r="A19" s="3">
        <f t="shared" si="1"/>
        <v>-42</v>
      </c>
      <c r="B19" s="3">
        <v>1</v>
      </c>
      <c r="C19" s="162">
        <f t="shared" si="0"/>
        <v>0.1</v>
      </c>
      <c r="J19" s="2" t="s">
        <v>99</v>
      </c>
      <c r="K19" s="3" t="b">
        <v>0</v>
      </c>
      <c r="O19" s="72"/>
      <c r="P19" s="73"/>
      <c r="Q19" s="74" t="s">
        <v>84</v>
      </c>
      <c r="R19" s="73">
        <f>IF($T$16&lt;$M$4/10,ROUNDUP((10*$T$16-$M$4)/5,0),0)+IF($T$33&lt;$M$35/10,ROUNDUP((10*$T$33-$M$35)/5,0),0)</f>
        <v>0</v>
      </c>
      <c r="S19" s="73"/>
      <c r="T19" s="75"/>
      <c r="U19" s="82"/>
      <c r="V19" s="83"/>
      <c r="W19" s="83" t="s">
        <v>109</v>
      </c>
      <c r="X19" s="83">
        <f>IF($Y$19&gt;0,$Y$19/650,0)</f>
        <v>0.4046153846153846</v>
      </c>
      <c r="Y19" s="83">
        <f>IF(699-$M$4&lt;650-$Y$18,IF(699-$M$4&gt;0,IF(699-$M$4&lt;300,699-$M$4,300),0),IF(650-$Y$18&lt;300,650-$Y$18,300))</f>
        <v>263</v>
      </c>
      <c r="Z19" s="83"/>
      <c r="AA19" s="83"/>
      <c r="AB19" s="83"/>
      <c r="AC19" s="83"/>
      <c r="AD19" s="84"/>
    </row>
    <row r="20" spans="1:30" ht="12.75">
      <c r="A20" s="3">
        <f t="shared" si="1"/>
        <v>-41</v>
      </c>
      <c r="B20" s="3">
        <v>1</v>
      </c>
      <c r="C20" s="162">
        <f t="shared" si="0"/>
        <v>0.1</v>
      </c>
      <c r="J20" s="2" t="s">
        <v>104</v>
      </c>
      <c r="K20" s="3" t="b">
        <v>0</v>
      </c>
      <c r="O20" s="72"/>
      <c r="P20" s="73"/>
      <c r="Q20" s="74" t="s">
        <v>85</v>
      </c>
      <c r="R20" s="73">
        <f>IF(AND($C$2="Priest",AND(NOT($N$3="Hafted"),NOT($K$21=1))),-2,0)</f>
        <v>0</v>
      </c>
      <c r="S20" s="73"/>
      <c r="T20" s="75"/>
      <c r="U20" s="82"/>
      <c r="V20" s="83"/>
      <c r="W20" s="83" t="s">
        <v>110</v>
      </c>
      <c r="X20" s="83">
        <f>IF($Y$20&gt;0,$Y$20/650,0)</f>
        <v>0</v>
      </c>
      <c r="Y20" s="83">
        <f>IF(899-$M$4&lt;650-$Y$18-$Y$19,IF(899-$M$4&gt;0,IF(899-$M$4&lt;200,899-$M$4,200),0),IF(650-$Y$18-$Y$19&lt;200,650-$Y$18-$Y$19,200))</f>
        <v>0</v>
      </c>
      <c r="Z20" s="83"/>
      <c r="AA20" s="83"/>
      <c r="AB20" s="83"/>
      <c r="AC20" s="83"/>
      <c r="AD20" s="84"/>
    </row>
    <row r="21" spans="1:30" ht="12.75">
      <c r="A21" s="3">
        <f t="shared" si="1"/>
        <v>-40</v>
      </c>
      <c r="B21" s="3">
        <v>2</v>
      </c>
      <c r="C21" s="162">
        <f t="shared" si="0"/>
        <v>0.2</v>
      </c>
      <c r="J21" s="2" t="s">
        <v>34</v>
      </c>
      <c r="K21" s="3">
        <v>2</v>
      </c>
      <c r="O21" s="72"/>
      <c r="P21" s="73"/>
      <c r="Q21" s="74" t="s">
        <v>86</v>
      </c>
      <c r="R21" s="73">
        <f>IF($K$15,10,0)+IF($K$16,12,0)+IF($K$17,24,0)</f>
        <v>0</v>
      </c>
      <c r="S21" s="73"/>
      <c r="T21" s="75"/>
      <c r="U21" s="82"/>
      <c r="V21" s="83"/>
      <c r="W21" s="83" t="s">
        <v>113</v>
      </c>
      <c r="X21" s="83">
        <f>IF($Y$21&gt;0,$Y$21/650,0)</f>
        <v>0</v>
      </c>
      <c r="Y21" s="83">
        <f>IF(1299-$M$4&lt;650-$Y$18-$Y$19-$Y$20,IF(1299-$M$4&gt;0,IF(1299-$M$4&lt;400,1299-$M$4,400),0),IF(650-$Y$18-$Y$19-$Y$20&lt;400,650-$Y$18-$Y$19-$Y$20,400))</f>
        <v>0</v>
      </c>
      <c r="Z21" s="83"/>
      <c r="AA21" s="83"/>
      <c r="AB21" s="83"/>
      <c r="AC21" s="83"/>
      <c r="AD21" s="84"/>
    </row>
    <row r="22" spans="1:30" ht="12.75">
      <c r="A22" s="3">
        <f t="shared" si="1"/>
        <v>-39</v>
      </c>
      <c r="B22" s="3">
        <v>2</v>
      </c>
      <c r="C22" s="162">
        <f t="shared" si="0"/>
        <v>0.2</v>
      </c>
      <c r="J22" s="2" t="s">
        <v>182</v>
      </c>
      <c r="K22" s="3" t="b">
        <v>0</v>
      </c>
      <c r="O22" s="72"/>
      <c r="P22" s="73"/>
      <c r="Q22" s="74" t="s">
        <v>87</v>
      </c>
      <c r="R22" s="73">
        <f>IF($K$18,-5,0)+IF($K$19,-20,0)</f>
        <v>0</v>
      </c>
      <c r="S22" s="73"/>
      <c r="T22" s="75"/>
      <c r="U22" s="82"/>
      <c r="V22" s="83"/>
      <c r="W22" s="83" t="s">
        <v>114</v>
      </c>
      <c r="X22" s="83">
        <f>IF($Y$22&gt;0,$Y$22/650,0)</f>
        <v>0</v>
      </c>
      <c r="Y22" s="83">
        <f>650-$Y$18-$Y$19-$Y$20-$Y$21</f>
        <v>0</v>
      </c>
      <c r="Z22" s="83"/>
      <c r="AA22" s="83"/>
      <c r="AB22" s="83"/>
      <c r="AC22" s="83"/>
      <c r="AD22" s="84"/>
    </row>
    <row r="23" spans="1:30" ht="13.5" thickBot="1">
      <c r="A23" s="3">
        <f t="shared" si="1"/>
        <v>-38</v>
      </c>
      <c r="B23" s="3">
        <v>2</v>
      </c>
      <c r="C23" s="162">
        <f t="shared" si="0"/>
        <v>0.2</v>
      </c>
      <c r="O23" s="76" t="s">
        <v>81</v>
      </c>
      <c r="P23" s="79">
        <f>SUM(P16:P18)</f>
        <v>74.5</v>
      </c>
      <c r="Q23" s="77" t="s">
        <v>88</v>
      </c>
      <c r="R23" s="79">
        <f>SUM(R16:R22)</f>
        <v>0</v>
      </c>
      <c r="S23" s="77" t="s">
        <v>89</v>
      </c>
      <c r="T23" s="78">
        <f>$P$23+3*$R$23</f>
        <v>74.5</v>
      </c>
      <c r="U23" s="85"/>
      <c r="V23" s="86"/>
      <c r="W23" s="86" t="s">
        <v>115</v>
      </c>
      <c r="X23" s="86">
        <f>SUM(X18:X22)</f>
        <v>1</v>
      </c>
      <c r="Y23" s="86"/>
      <c r="Z23" s="86"/>
      <c r="AA23" s="86"/>
      <c r="AB23" s="86"/>
      <c r="AC23" s="86"/>
      <c r="AD23" s="87"/>
    </row>
    <row r="24" spans="1:31" ht="13.5" thickTop="1">
      <c r="A24" s="3">
        <f t="shared" si="1"/>
        <v>-37</v>
      </c>
      <c r="B24" s="3">
        <v>2</v>
      </c>
      <c r="C24" s="162">
        <f t="shared" si="0"/>
        <v>0.2</v>
      </c>
      <c r="O24" s="88" t="s">
        <v>143</v>
      </c>
      <c r="P24" s="89"/>
      <c r="Q24" s="89"/>
      <c r="R24" s="89"/>
      <c r="S24" s="89"/>
      <c r="T24" s="89"/>
      <c r="U24" s="90"/>
      <c r="V24" s="98" t="s">
        <v>144</v>
      </c>
      <c r="W24" s="99"/>
      <c r="X24" s="99"/>
      <c r="Y24" s="99"/>
      <c r="Z24" s="99"/>
      <c r="AA24" s="99"/>
      <c r="AB24" s="99"/>
      <c r="AC24" s="99"/>
      <c r="AD24" s="99"/>
      <c r="AE24" s="100"/>
    </row>
    <row r="25" spans="1:31" ht="12.75">
      <c r="A25" s="3">
        <f t="shared" si="1"/>
        <v>-36</v>
      </c>
      <c r="B25" s="3">
        <v>2</v>
      </c>
      <c r="C25" s="162">
        <f t="shared" si="0"/>
        <v>0.2</v>
      </c>
      <c r="O25" s="91" t="s">
        <v>83</v>
      </c>
      <c r="P25" s="92">
        <f>$G$14</f>
        <v>0</v>
      </c>
      <c r="Q25" s="93" t="s">
        <v>79</v>
      </c>
      <c r="R25" s="92">
        <f>IF($C$5&lt;5,-1,0)+IF($C$5&lt;7,-1,0)+IF($C$5&gt;15,1,0)+IF($C$5&gt;=17,1,0)+IF($C$6&gt;19,1,0)+IF($C$6&gt;69,1,0)*INT(($C$6-60)/10)-IF($C$6&gt;229,1,0)*INT(($C$6-220)/10)-IF($C$6&gt;89,1,0)+IF($C$6&gt;209,1,0)+IF($C$6&gt;219,1,0)</f>
        <v>0</v>
      </c>
      <c r="S25" s="93" t="s">
        <v>115</v>
      </c>
      <c r="T25" s="94">
        <f>SUM(P25,P26,R25,R26)</f>
        <v>0</v>
      </c>
      <c r="U25" s="95"/>
      <c r="V25" s="101"/>
      <c r="W25" s="102" t="s">
        <v>122</v>
      </c>
      <c r="X25" s="102" t="s">
        <v>121</v>
      </c>
      <c r="Y25" s="102" t="s">
        <v>124</v>
      </c>
      <c r="Z25" s="102" t="s">
        <v>125</v>
      </c>
      <c r="AA25" s="102" t="s">
        <v>126</v>
      </c>
      <c r="AB25" s="102" t="s">
        <v>127</v>
      </c>
      <c r="AC25" s="102" t="s">
        <v>128</v>
      </c>
      <c r="AD25" s="102" t="s">
        <v>129</v>
      </c>
      <c r="AE25" s="103" t="s">
        <v>180</v>
      </c>
    </row>
    <row r="26" spans="1:31" ht="12.75">
      <c r="A26" s="3">
        <f t="shared" si="1"/>
        <v>-35</v>
      </c>
      <c r="B26" s="3">
        <v>2</v>
      </c>
      <c r="C26" s="162">
        <f t="shared" si="0"/>
        <v>0.2</v>
      </c>
      <c r="O26" s="91" t="s">
        <v>87</v>
      </c>
      <c r="P26" s="92">
        <f>IF($K$18,-5,0)+IF($K$18,-20,0)</f>
        <v>0</v>
      </c>
      <c r="Q26" s="93" t="s">
        <v>85</v>
      </c>
      <c r="R26" s="94">
        <f>IF(AND($C$2="Priest",AND(NOT($N$3="Hafted"),NOT($K$21=1))),-2,0)</f>
        <v>0</v>
      </c>
      <c r="S26" s="93"/>
      <c r="T26" s="92"/>
      <c r="U26" s="96"/>
      <c r="V26" s="104" t="s">
        <v>118</v>
      </c>
      <c r="W26" s="113">
        <f>$P28*$V$17*(1-$X$17)</f>
        <v>1.690383389261745</v>
      </c>
      <c r="X26" s="114">
        <f>$Q28*$V$17*$X$17*$X$18</f>
        <v>0.012113479607640684</v>
      </c>
      <c r="Y26" s="114">
        <f>$R28*$V$17*$X$17*$X$19</f>
        <v>0.012348236964377904</v>
      </c>
      <c r="Z26" s="114">
        <f>$S28*$V$17*$X$17*$X$20</f>
        <v>0</v>
      </c>
      <c r="AA26" s="114">
        <f>$T28*$V$17*$X$17*$X$21</f>
        <v>0</v>
      </c>
      <c r="AB26" s="114">
        <f>$U28*$V$17*$X$17*$X$22</f>
        <v>0</v>
      </c>
      <c r="AC26" s="114">
        <f>SUM(W26:AB26)</f>
        <v>1.7148451058337637</v>
      </c>
      <c r="AD26" s="158">
        <f>$AC26*$M$7</f>
        <v>1.7148451058337637</v>
      </c>
      <c r="AE26" s="115">
        <f>INDEX($A$11:$C$131,IF($H$14&gt;70,70,IF($H$14&lt;-50,-50,$H$14))+51,3)*AD26</f>
        <v>1.7148451058337637</v>
      </c>
    </row>
    <row r="27" spans="1:31" ht="12.75">
      <c r="A27" s="3">
        <f t="shared" si="1"/>
        <v>-34</v>
      </c>
      <c r="B27" s="3">
        <v>2</v>
      </c>
      <c r="C27" s="162">
        <f t="shared" si="0"/>
        <v>0.2</v>
      </c>
      <c r="O27" s="91"/>
      <c r="P27" s="93" t="s">
        <v>122</v>
      </c>
      <c r="Q27" s="93" t="s">
        <v>121</v>
      </c>
      <c r="R27" s="93" t="s">
        <v>124</v>
      </c>
      <c r="S27" s="93" t="s">
        <v>125</v>
      </c>
      <c r="T27" s="93" t="s">
        <v>126</v>
      </c>
      <c r="U27" s="96" t="s">
        <v>127</v>
      </c>
      <c r="V27" s="104" t="s">
        <v>119</v>
      </c>
      <c r="W27" s="116">
        <f>$P29*$V$17*(1-$X$17)</f>
        <v>3.38076677852349</v>
      </c>
      <c r="X27" s="117">
        <f>$Q29*$V$17*$X$17*$X$18</f>
        <v>0.018170219411461023</v>
      </c>
      <c r="Y27" s="117">
        <f>$R29*$V$17*$X$17*$X$19</f>
        <v>0.016464315952503875</v>
      </c>
      <c r="Z27" s="117">
        <f>$S29*$V$17*$X$17*$X$20</f>
        <v>0</v>
      </c>
      <c r="AA27" s="117">
        <f>$T29*$V$17*$X$17*$X$21</f>
        <v>0</v>
      </c>
      <c r="AB27" s="117">
        <f>$U29*$V$17*$X$17*$X$22</f>
        <v>0</v>
      </c>
      <c r="AC27" s="117">
        <f>SUM(W27:AB27)</f>
        <v>3.415401313887455</v>
      </c>
      <c r="AD27" s="159">
        <f>$AC27*$M$7</f>
        <v>3.415401313887455</v>
      </c>
      <c r="AE27" s="115">
        <f>INDEX($A$11:$C$131,IF($H$14&gt;70,70,IF($H$14&lt;-50,-50,$H$14))+51,3)*AD27</f>
        <v>3.415401313887455</v>
      </c>
    </row>
    <row r="28" spans="1:31" ht="12.75">
      <c r="A28" s="3">
        <f t="shared" si="1"/>
        <v>-33</v>
      </c>
      <c r="B28" s="3">
        <v>2</v>
      </c>
      <c r="C28" s="162">
        <f t="shared" si="0"/>
        <v>0.2</v>
      </c>
      <c r="O28" s="91" t="s">
        <v>118</v>
      </c>
      <c r="P28" s="106">
        <f>($M$10+1)/2*$M$9+$T$25</f>
        <v>2.5</v>
      </c>
      <c r="Q28" s="107">
        <f>($P28-$T$25)*2+5+$T$25</f>
        <v>10</v>
      </c>
      <c r="R28" s="107">
        <f>($P28-$T$25)*2+10+$T$25</f>
        <v>15</v>
      </c>
      <c r="S28" s="107">
        <f>($P28-$T$25)*3+15+$T$25</f>
        <v>22.5</v>
      </c>
      <c r="T28" s="107">
        <f>($P28-$T$25)*3+20+$T$25</f>
        <v>27.5</v>
      </c>
      <c r="U28" s="108">
        <f>($P28-$T$25)*3.5+25+$T$25</f>
        <v>33.75</v>
      </c>
      <c r="V28" s="104" t="s">
        <v>120</v>
      </c>
      <c r="W28" s="116">
        <f>$P30*$V$17*(1-$X$17)</f>
        <v>5.071150167785235</v>
      </c>
      <c r="X28" s="117">
        <f>$Q30*$V$17*$X$17*$X$18</f>
        <v>0.02422695921528137</v>
      </c>
      <c r="Y28" s="117">
        <f>$R30*$V$17*$X$17*$X$19</f>
        <v>0.020580394940629843</v>
      </c>
      <c r="Z28" s="117">
        <f>$S30*$V$17*$X$17*$X$20</f>
        <v>0</v>
      </c>
      <c r="AA28" s="117">
        <f>$T30*$V$17*$X$17*$X$21</f>
        <v>0</v>
      </c>
      <c r="AB28" s="117">
        <f>$U30*$V$17*$X$17*$X$22</f>
        <v>0</v>
      </c>
      <c r="AC28" s="117">
        <f>SUM(W28:AB28)</f>
        <v>5.115957521941146</v>
      </c>
      <c r="AD28" s="159">
        <f>$AC28*$M$7</f>
        <v>5.115957521941146</v>
      </c>
      <c r="AE28" s="115">
        <f>INDEX($A$11:$C$131,IF($H$14&gt;70,70,IF($H$14&lt;-50,-50,$H$14))+51,3)*AD28</f>
        <v>5.115957521941146</v>
      </c>
    </row>
    <row r="29" spans="1:31" ht="13.5" thickBot="1">
      <c r="A29" s="3">
        <f t="shared" si="1"/>
        <v>-32</v>
      </c>
      <c r="B29" s="3">
        <v>2</v>
      </c>
      <c r="C29" s="162">
        <f t="shared" si="0"/>
        <v>0.2</v>
      </c>
      <c r="O29" s="91" t="s">
        <v>119</v>
      </c>
      <c r="P29" s="109">
        <f>($P$28-$T$25)*2+$T$25</f>
        <v>5</v>
      </c>
      <c r="Q29" s="107">
        <f>($P29-$T$25)*2+5+$T$25</f>
        <v>15</v>
      </c>
      <c r="R29" s="107">
        <f>($P29-$T$25)*2+10+$T$25</f>
        <v>20</v>
      </c>
      <c r="S29" s="107">
        <f>($P29-$T$25)*3+15+$T$25</f>
        <v>30</v>
      </c>
      <c r="T29" s="107">
        <f>($P29-$T$25)*3+20+$T$25</f>
        <v>35</v>
      </c>
      <c r="U29" s="108">
        <f>($P29-$T$25)*3.5+25+$T$25</f>
        <v>42.5</v>
      </c>
      <c r="V29" s="105" t="s">
        <v>123</v>
      </c>
      <c r="W29" s="118">
        <f>$P31*$V$17*(1-$X$17)</f>
        <v>8.451916946308726</v>
      </c>
      <c r="X29" s="119">
        <f>$Q31*$V$17*$X$17*$X$18</f>
        <v>0.036340438822922046</v>
      </c>
      <c r="Y29" s="119">
        <f>$R31*$V$17*$X$17*$X$19</f>
        <v>0.02881255291688178</v>
      </c>
      <c r="Z29" s="119">
        <f>$S31*$V$17*$X$17*$X$20</f>
        <v>0</v>
      </c>
      <c r="AA29" s="119">
        <f>$T31*$V$17*$X$17*$X$21</f>
        <v>0</v>
      </c>
      <c r="AB29" s="119">
        <f>$U31*$V$17*$X$17*$X$22</f>
        <v>0</v>
      </c>
      <c r="AC29" s="119">
        <f>SUM(W29:AB29)</f>
        <v>8.51706993804853</v>
      </c>
      <c r="AD29" s="160">
        <f>$AC29*$M$7</f>
        <v>8.51706993804853</v>
      </c>
      <c r="AE29" s="120">
        <f>INDEX($A$11:$C$131,IF($H$14&gt;70,70,IF($H$14&lt;-50,-50,$H$14))+51,3)*AD29</f>
        <v>8.51706993804853</v>
      </c>
    </row>
    <row r="30" spans="1:21" ht="13.5" thickTop="1">
      <c r="A30" s="3">
        <f t="shared" si="1"/>
        <v>-31</v>
      </c>
      <c r="B30" s="3">
        <v>2</v>
      </c>
      <c r="C30" s="162">
        <f t="shared" si="0"/>
        <v>0.2</v>
      </c>
      <c r="O30" s="91" t="s">
        <v>120</v>
      </c>
      <c r="P30" s="106">
        <f>($P$28-$T$25)*3+$T$25</f>
        <v>7.5</v>
      </c>
      <c r="Q30" s="107">
        <f>($P30-$T$25)*2+5+$T$25</f>
        <v>20</v>
      </c>
      <c r="R30" s="107">
        <f>($P30-$T$25)*2+10+$T$25</f>
        <v>25</v>
      </c>
      <c r="S30" s="107">
        <f>($P30-$T$25)*3+15+$T$25</f>
        <v>37.5</v>
      </c>
      <c r="T30" s="107">
        <f>($P30-$T$25)*3+20+$T$25</f>
        <v>42.5</v>
      </c>
      <c r="U30" s="108">
        <f>($P30-$T$25)*3.5+25+$T$25</f>
        <v>51.25</v>
      </c>
    </row>
    <row r="31" spans="1:21" ht="13.5" thickBot="1">
      <c r="A31" s="3">
        <f t="shared" si="1"/>
        <v>-30</v>
      </c>
      <c r="B31" s="3">
        <v>2</v>
      </c>
      <c r="C31" s="162">
        <f t="shared" si="0"/>
        <v>0.2</v>
      </c>
      <c r="O31" s="97" t="s">
        <v>123</v>
      </c>
      <c r="P31" s="151">
        <f>($P$28-$T$25)*5+$T$25</f>
        <v>12.5</v>
      </c>
      <c r="Q31" s="107">
        <f>($P31-$T$25)*2+5+$T$25</f>
        <v>30</v>
      </c>
      <c r="R31" s="107">
        <f>($P31-$T$25)*2+10+$T$25</f>
        <v>35</v>
      </c>
      <c r="S31" s="107">
        <f>($P31-$T$25)*3+15+$T$25</f>
        <v>52.5</v>
      </c>
      <c r="T31" s="107">
        <f>($P31-$T$25)*3+20+$T$25</f>
        <v>57.5</v>
      </c>
      <c r="U31" s="108">
        <f>($P31-$T$25)*3.5+25+$T$25</f>
        <v>68.75</v>
      </c>
    </row>
    <row r="32" spans="1:27" ht="13.5" thickTop="1">
      <c r="A32" s="3">
        <f t="shared" si="1"/>
        <v>-29</v>
      </c>
      <c r="B32" s="3">
        <v>2</v>
      </c>
      <c r="C32" s="162">
        <f t="shared" si="0"/>
        <v>0.2</v>
      </c>
      <c r="J32" s="2" t="s">
        <v>139</v>
      </c>
      <c r="O32" s="69" t="s">
        <v>145</v>
      </c>
      <c r="P32" s="70"/>
      <c r="Q32" s="70"/>
      <c r="R32" s="70"/>
      <c r="S32" s="70"/>
      <c r="T32" s="71"/>
      <c r="U32" s="145" t="s">
        <v>148</v>
      </c>
      <c r="V32" s="80"/>
      <c r="W32" s="80"/>
      <c r="X32" s="80"/>
      <c r="Y32" s="80"/>
      <c r="Z32" s="80"/>
      <c r="AA32" s="81"/>
    </row>
    <row r="33" spans="1:27" ht="12.75">
      <c r="A33" s="3">
        <f t="shared" si="1"/>
        <v>-28</v>
      </c>
      <c r="B33" s="3">
        <v>2</v>
      </c>
      <c r="C33" s="162">
        <f t="shared" si="0"/>
        <v>0.2</v>
      </c>
      <c r="E33" s="2" t="s">
        <v>139</v>
      </c>
      <c r="J33" s="2" t="s">
        <v>22</v>
      </c>
      <c r="K33" s="3" t="b">
        <v>0</v>
      </c>
      <c r="L33" s="2" t="s">
        <v>36</v>
      </c>
      <c r="M33" s="3">
        <v>1</v>
      </c>
      <c r="N33">
        <f>INDEX(Bows!A2:A25,$M$33)</f>
        <v>0</v>
      </c>
      <c r="O33" s="72" t="s">
        <v>82</v>
      </c>
      <c r="P33" s="73">
        <f>IF($C$2="Warrior",55,0)+IF($C$2="Mage",20,0)+IF($C$2="Priest",35,0)+IF($C$2="Rogue",66,0)+IF($C$2="Ranger",72,0)+IF($C$2="Paladin",40,0)</f>
        <v>55</v>
      </c>
      <c r="Q33" s="74" t="s">
        <v>79</v>
      </c>
      <c r="R33" s="73">
        <f>IF($C$5=3,-1,0)+IF($C$5&lt;5,-1,0)+IF($C$5&lt;7,-1,0)+IF($C$5=18,1,0)+IF($C$6&gt;69,1,0)*INT(($C$6-60)/10)-IF($C$6&gt;209,1,0)*INT(($C$6-200)/10)</f>
        <v>0</v>
      </c>
      <c r="S33" s="74" t="s">
        <v>92</v>
      </c>
      <c r="T33" s="75">
        <f>4+IF($C$5&gt;3,1,0)+IF($C$5&gt;4,1,0)*INT($C$5-4)+IF($C$5&gt;7,1,0)*INT($C$5-7)+IF($C$5=18,1,0)*IF($C$6&gt;19,5,0)*INT(($C$6-9)/10)+IF($C$6&gt;99,-5,0)*INT(($C$6-89)/10)+IF($C$6&gt;99,10,0)+IF($C$6&gt;149,10,0)+IF($C$6&gt;199,10,0)</f>
        <v>14</v>
      </c>
      <c r="U33" s="150" t="s">
        <v>149</v>
      </c>
      <c r="V33" s="83">
        <f>$T$40</f>
        <v>74.5</v>
      </c>
      <c r="W33" s="83" t="s">
        <v>105</v>
      </c>
      <c r="X33" s="83">
        <f>IF($K$20,$V$36/2,$V$36)</f>
        <v>66.5</v>
      </c>
      <c r="Y33" s="83" t="s">
        <v>107</v>
      </c>
      <c r="Z33" s="83">
        <f>$M$35+($R$40+$V$34)*4+$C$4*2</f>
        <v>7</v>
      </c>
      <c r="AA33" s="84"/>
    </row>
    <row r="34" spans="1:27" ht="12.75">
      <c r="A34" s="3">
        <f t="shared" si="1"/>
        <v>-27</v>
      </c>
      <c r="B34" s="3">
        <v>2</v>
      </c>
      <c r="C34" s="162">
        <f t="shared" si="0"/>
        <v>0.2</v>
      </c>
      <c r="E34" s="2" t="s">
        <v>208</v>
      </c>
      <c r="F34" s="2" t="s">
        <v>31</v>
      </c>
      <c r="G34" s="2" t="s">
        <v>32</v>
      </c>
      <c r="H34" s="2" t="s">
        <v>57</v>
      </c>
      <c r="J34" s="2" t="s">
        <v>24</v>
      </c>
      <c r="K34" s="3" t="b">
        <v>0</v>
      </c>
      <c r="L34" s="2" t="s">
        <v>27</v>
      </c>
      <c r="M34" s="3">
        <v>1</v>
      </c>
      <c r="N34" t="str">
        <f>INDEX(Values!D2:D6,$M$34)</f>
        <v>Sling</v>
      </c>
      <c r="O34" s="72" t="s">
        <v>77</v>
      </c>
      <c r="P34" s="73">
        <f>IF($C$3="Half-Elf",5,0)+IF($C$3="Elf",15,0)+IF($C$3="Hobbit",20,0)+IF($C$3="Gnome",12,0)+IF($C$3="Dwarf",0,0)+IF($C$3="Half-Orc",-5,0)+IF($C$3="Half-Troll",-10,0)+IF($C$3="Dunadan",10,0)+IF($C$3="High-Elf",25,0)</f>
        <v>0</v>
      </c>
      <c r="Q34" s="74" t="s">
        <v>80</v>
      </c>
      <c r="R34" s="73">
        <f>IF($C$7=3,-1,0)+IF($C$7&lt;6,-1,0)+IF($C$7&lt;8,-1,0)+IF($C$7&gt;15,1,0)+IF($C$7&gt;16,1,0)+IF($C$7=18,1,0)+IF($C$8&gt;49,1,0)+IF($C$8&gt;89,1,0)*INT(($C$8-80)/10)-IF($C$8&gt;209,1,0)*INT(($C$8-200)/10)-IF($C$8&gt;139,1,0)</f>
        <v>0</v>
      </c>
      <c r="S34" s="73"/>
      <c r="T34" s="75"/>
      <c r="U34" s="150" t="s">
        <v>137</v>
      </c>
      <c r="V34" s="83">
        <f>$F$48*3</f>
        <v>0</v>
      </c>
      <c r="W34" s="83" t="s">
        <v>112</v>
      </c>
      <c r="X34" s="83">
        <f>0.05+0.9*IF($X$33&lt;$M$39*3/4,0,($X$33-$M$39*3/4)/$X$33)</f>
        <v>0.6454887218045113</v>
      </c>
      <c r="Y34" s="83" t="s">
        <v>111</v>
      </c>
      <c r="Z34" s="83">
        <f>IF($Z$33/5000&lt;0,0,$Z$33/5000)</f>
        <v>0.0014</v>
      </c>
      <c r="AA34" s="84"/>
    </row>
    <row r="35" spans="1:27" ht="12.75">
      <c r="A35" s="3">
        <f t="shared" si="1"/>
        <v>-26</v>
      </c>
      <c r="B35" s="3">
        <v>2</v>
      </c>
      <c r="C35" s="162">
        <f t="shared" si="0"/>
        <v>0.2</v>
      </c>
      <c r="E35" s="4" t="s">
        <v>58</v>
      </c>
      <c r="F35" s="4" t="s">
        <v>147</v>
      </c>
      <c r="G35" s="4" t="s">
        <v>147</v>
      </c>
      <c r="H35" s="4">
        <f>Form!E17</f>
        <v>0</v>
      </c>
      <c r="J35" s="2" t="s">
        <v>25</v>
      </c>
      <c r="K35" s="3" t="b">
        <v>0</v>
      </c>
      <c r="L35" s="2" t="s">
        <v>66</v>
      </c>
      <c r="M35" s="3">
        <v>5</v>
      </c>
      <c r="O35" s="72" t="s">
        <v>78</v>
      </c>
      <c r="P35" s="73">
        <f>$B$4*(IF($C$2="Warrior",4.5,0)+IF($C$2="Mage",1.5,0)+IF($C$2="Priest",2,0)+IF($C$2="Rogue",3,0)+IF($C$2="Ranger",4.5,0)+IF($C$2="Paladin",3,0))</f>
        <v>4.5</v>
      </c>
      <c r="Q35" s="74" t="s">
        <v>83</v>
      </c>
      <c r="R35" s="73">
        <f>$F$47</f>
        <v>0</v>
      </c>
      <c r="S35" s="73"/>
      <c r="T35" s="75"/>
      <c r="U35" s="150" t="s">
        <v>150</v>
      </c>
      <c r="V35" s="83">
        <f>-$M$42</f>
        <v>-8</v>
      </c>
      <c r="W35" s="83"/>
      <c r="X35" s="83"/>
      <c r="Y35" s="83" t="s">
        <v>108</v>
      </c>
      <c r="Z35" s="83">
        <f>IF($AA$35&gt;0,$AA$35/500,0)</f>
        <v>0.988</v>
      </c>
      <c r="AA35" s="84">
        <f>IF(499-$M$35&gt;0,499-$M$35,0)</f>
        <v>494</v>
      </c>
    </row>
    <row r="36" spans="1:27" ht="12.75">
      <c r="A36" s="3">
        <f t="shared" si="1"/>
        <v>-25</v>
      </c>
      <c r="B36" s="3">
        <v>2</v>
      </c>
      <c r="C36" s="162">
        <f t="shared" si="0"/>
        <v>0.2</v>
      </c>
      <c r="E36" s="3" t="s">
        <v>146</v>
      </c>
      <c r="F36" s="3">
        <f>Form!$C$25</f>
        <v>0</v>
      </c>
      <c r="G36" s="3">
        <f>Form!$D$25</f>
        <v>0</v>
      </c>
      <c r="H36" s="3">
        <f>Form!$E$17</f>
        <v>0</v>
      </c>
      <c r="J36" s="2" t="s">
        <v>23</v>
      </c>
      <c r="K36" s="3" t="b">
        <v>0</v>
      </c>
      <c r="L36" s="2" t="s">
        <v>75</v>
      </c>
      <c r="M36" s="3">
        <f>1+IF(AND(B2=4,OR(M34=2,M34=3)),IF(B4&gt;19,1+IF(B4&gt;39,1,0),0),0)</f>
        <v>1</v>
      </c>
      <c r="O36" s="72"/>
      <c r="P36" s="73"/>
      <c r="Q36" s="74" t="s">
        <v>84</v>
      </c>
      <c r="R36" s="73">
        <f>IF($T$16&lt;$M$4/10,ROUNDUP((10*$T$16-$M$4)/5,0),0)+IF($T$33&lt;$M$35/10,ROUNDUP((10*$T$33-$M$35)/5,0),0)</f>
        <v>0</v>
      </c>
      <c r="S36" s="73"/>
      <c r="T36" s="75"/>
      <c r="U36" s="150" t="s">
        <v>151</v>
      </c>
      <c r="V36" s="83">
        <f>SUM(V33:V35)</f>
        <v>66.5</v>
      </c>
      <c r="W36" s="83"/>
      <c r="X36" s="83"/>
      <c r="Y36" s="83" t="s">
        <v>109</v>
      </c>
      <c r="Z36" s="83">
        <f>IF($AA$36&gt;0,$AA$36/500,0)</f>
        <v>0.012</v>
      </c>
      <c r="AA36" s="84">
        <f>IF(999-$M$35&lt;500-$AA$35,IF(999-$M$35&gt;0,IF(999-$M$35&lt;500,999-$M$35,500),0),IF(500-$AA$35&lt;500,500-$AA$35,500))</f>
        <v>6</v>
      </c>
    </row>
    <row r="37" spans="1:27" ht="12.75">
      <c r="A37" s="3">
        <f t="shared" si="1"/>
        <v>-24</v>
      </c>
      <c r="B37" s="3">
        <v>2</v>
      </c>
      <c r="C37" s="162">
        <f t="shared" si="0"/>
        <v>0.2</v>
      </c>
      <c r="E37" s="3" t="s">
        <v>38</v>
      </c>
      <c r="F37" s="3">
        <f>Form!D36</f>
        <v>0</v>
      </c>
      <c r="G37" s="3" t="s">
        <v>147</v>
      </c>
      <c r="H37" s="3">
        <f>Form!F36</f>
        <v>0</v>
      </c>
      <c r="J37" s="2" t="s">
        <v>54</v>
      </c>
      <c r="K37" s="3" t="b">
        <v>0</v>
      </c>
      <c r="L37" s="2" t="s">
        <v>76</v>
      </c>
      <c r="M37" s="3">
        <f>Form!C31</f>
        <v>0</v>
      </c>
      <c r="O37" s="72"/>
      <c r="P37" s="73"/>
      <c r="Q37" s="74" t="s">
        <v>85</v>
      </c>
      <c r="R37" s="73">
        <f>IF(AND($C$2="Priest",AND(NOT($N$3="Hafted"),NOT($K$21=1))),-2,0)</f>
        <v>0</v>
      </c>
      <c r="S37" s="73"/>
      <c r="T37" s="75"/>
      <c r="U37" s="150"/>
      <c r="V37" s="83"/>
      <c r="W37" s="83"/>
      <c r="X37" s="83"/>
      <c r="Y37" s="83" t="s">
        <v>114</v>
      </c>
      <c r="Z37" s="83">
        <f>IF($AA$37&gt;0,$AA$37/500,0)</f>
        <v>0</v>
      </c>
      <c r="AA37" s="84">
        <f>500-$AA$35-$AA$36</f>
        <v>0</v>
      </c>
    </row>
    <row r="38" spans="1:27" ht="12.75">
      <c r="A38" s="3">
        <f t="shared" si="1"/>
        <v>-23</v>
      </c>
      <c r="B38" s="3">
        <v>3</v>
      </c>
      <c r="C38" s="162">
        <f t="shared" si="0"/>
        <v>0.3</v>
      </c>
      <c r="E38" s="3" t="s">
        <v>39</v>
      </c>
      <c r="F38" s="3">
        <f>Form!D39</f>
        <v>0</v>
      </c>
      <c r="G38" s="3" t="s">
        <v>147</v>
      </c>
      <c r="H38" s="3">
        <f>Form!F39</f>
        <v>0</v>
      </c>
      <c r="J38" s="2" t="s">
        <v>50</v>
      </c>
      <c r="K38" s="3" t="b">
        <v>0</v>
      </c>
      <c r="L38" s="2" t="s">
        <v>67</v>
      </c>
      <c r="M38" s="3">
        <f>SUM(M36:M37)</f>
        <v>1</v>
      </c>
      <c r="O38" s="72"/>
      <c r="P38" s="73"/>
      <c r="Q38" s="74" t="s">
        <v>86</v>
      </c>
      <c r="R38" s="73">
        <f>IF($K$15,10,0)+IF($K$16,12,0)+IF($K$17,24,0)</f>
        <v>0</v>
      </c>
      <c r="S38" s="73"/>
      <c r="T38" s="75"/>
      <c r="U38" s="82"/>
      <c r="V38" s="83"/>
      <c r="W38" s="83"/>
      <c r="X38" s="83"/>
      <c r="Y38" s="83" t="s">
        <v>115</v>
      </c>
      <c r="Z38" s="83">
        <f>SUM(Z35:Z37)</f>
        <v>1</v>
      </c>
      <c r="AA38" s="84"/>
    </row>
    <row r="39" spans="1:27" ht="12.75">
      <c r="A39" s="3">
        <f t="shared" si="1"/>
        <v>-22</v>
      </c>
      <c r="B39" s="3">
        <v>3</v>
      </c>
      <c r="C39" s="162">
        <f t="shared" si="0"/>
        <v>0.3</v>
      </c>
      <c r="E39" s="3" t="s">
        <v>40</v>
      </c>
      <c r="F39" s="3">
        <f>Form!D42</f>
        <v>0</v>
      </c>
      <c r="G39" s="3" t="s">
        <v>147</v>
      </c>
      <c r="H39" s="3">
        <f>Form!F42</f>
        <v>0</v>
      </c>
      <c r="J39" s="2" t="s">
        <v>55</v>
      </c>
      <c r="K39" s="3" t="b">
        <v>0</v>
      </c>
      <c r="L39" s="2" t="s">
        <v>106</v>
      </c>
      <c r="M39" s="3">
        <f>Form!$C$7</f>
        <v>30</v>
      </c>
      <c r="O39" s="72"/>
      <c r="P39" s="73"/>
      <c r="Q39" s="74" t="s">
        <v>87</v>
      </c>
      <c r="R39" s="73">
        <f>IF($K$18,-5,0)+IF($K$19,-20,0)</f>
        <v>0</v>
      </c>
      <c r="S39" s="73"/>
      <c r="T39" s="75"/>
      <c r="U39" s="82"/>
      <c r="V39" s="83"/>
      <c r="W39" s="83"/>
      <c r="X39" s="83"/>
      <c r="Y39" s="83"/>
      <c r="Z39" s="83"/>
      <c r="AA39" s="84"/>
    </row>
    <row r="40" spans="1:27" ht="13.5" thickBot="1">
      <c r="A40" s="3">
        <f t="shared" si="1"/>
        <v>-21</v>
      </c>
      <c r="B40" s="3">
        <v>3</v>
      </c>
      <c r="C40" s="162">
        <f t="shared" si="0"/>
        <v>0.3</v>
      </c>
      <c r="E40" s="3" t="s">
        <v>41</v>
      </c>
      <c r="F40" s="3">
        <f>Form!D45</f>
        <v>0</v>
      </c>
      <c r="G40" s="3" t="s">
        <v>147</v>
      </c>
      <c r="H40" s="3">
        <f>Form!F45</f>
        <v>0</v>
      </c>
      <c r="J40" s="2" t="s">
        <v>48</v>
      </c>
      <c r="K40" s="3" t="b">
        <v>0</v>
      </c>
      <c r="L40" s="2" t="s">
        <v>116</v>
      </c>
      <c r="M40" s="3">
        <f>Form!E26</f>
        <v>1</v>
      </c>
      <c r="O40" s="76" t="s">
        <v>81</v>
      </c>
      <c r="P40" s="79">
        <f>SUM(P33:P35)</f>
        <v>59.5</v>
      </c>
      <c r="Q40" s="77" t="s">
        <v>88</v>
      </c>
      <c r="R40" s="79">
        <f>SUM(R33:R39)</f>
        <v>0</v>
      </c>
      <c r="S40" s="77" t="s">
        <v>89</v>
      </c>
      <c r="T40" s="78">
        <f>$P$23+3*$R$23</f>
        <v>74.5</v>
      </c>
      <c r="U40" s="85"/>
      <c r="V40" s="86"/>
      <c r="W40" s="86"/>
      <c r="X40" s="86"/>
      <c r="Y40" s="86"/>
      <c r="Z40" s="86"/>
      <c r="AA40" s="87"/>
    </row>
    <row r="41" spans="1:30" ht="13.5" thickTop="1">
      <c r="A41" s="3">
        <f t="shared" si="1"/>
        <v>-20</v>
      </c>
      <c r="B41" s="3">
        <v>3</v>
      </c>
      <c r="C41" s="162">
        <f t="shared" si="0"/>
        <v>0.3</v>
      </c>
      <c r="E41" s="3" t="s">
        <v>42</v>
      </c>
      <c r="F41" s="3">
        <f>Form!D48</f>
        <v>0</v>
      </c>
      <c r="G41" s="3" t="s">
        <v>147</v>
      </c>
      <c r="H41" s="3">
        <f>Form!F48</f>
        <v>0</v>
      </c>
      <c r="J41" s="2" t="s">
        <v>51</v>
      </c>
      <c r="K41" s="3" t="b">
        <v>0</v>
      </c>
      <c r="L41" s="2" t="s">
        <v>117</v>
      </c>
      <c r="M41" s="3">
        <f>3+IF($M$34&gt;1,1,0)+IF($M$34&gt;3,1,0)</f>
        <v>3</v>
      </c>
      <c r="O41" s="88" t="s">
        <v>152</v>
      </c>
      <c r="P41" s="89"/>
      <c r="Q41" s="89"/>
      <c r="R41" s="89"/>
      <c r="S41" s="89"/>
      <c r="T41" s="89"/>
      <c r="U41" s="90"/>
      <c r="V41" s="98" t="s">
        <v>154</v>
      </c>
      <c r="W41" s="99"/>
      <c r="X41" s="99"/>
      <c r="Y41" s="99"/>
      <c r="Z41" s="99"/>
      <c r="AA41" s="99"/>
      <c r="AB41" s="99"/>
      <c r="AC41" s="100"/>
      <c r="AD41" s="163"/>
    </row>
    <row r="42" spans="1:30" ht="12.75">
      <c r="A42" s="3">
        <f t="shared" si="1"/>
        <v>-19</v>
      </c>
      <c r="B42" s="3">
        <v>3</v>
      </c>
      <c r="C42" s="162">
        <f t="shared" si="0"/>
        <v>0.3</v>
      </c>
      <c r="E42" s="3" t="s">
        <v>100</v>
      </c>
      <c r="F42" s="3">
        <f>Form!D51</f>
        <v>0</v>
      </c>
      <c r="G42" s="3" t="s">
        <v>147</v>
      </c>
      <c r="H42" s="3">
        <f>Form!F51</f>
        <v>0</v>
      </c>
      <c r="J42" s="2" t="s">
        <v>52</v>
      </c>
      <c r="K42" s="3" t="b">
        <v>0</v>
      </c>
      <c r="L42" s="2" t="s">
        <v>150</v>
      </c>
      <c r="M42" s="3">
        <f>Form!$H$25</f>
        <v>8</v>
      </c>
      <c r="O42" s="91" t="s">
        <v>83</v>
      </c>
      <c r="P42" s="92">
        <f>$G$47</f>
        <v>0</v>
      </c>
      <c r="Q42" s="93" t="s">
        <v>153</v>
      </c>
      <c r="R42" s="92">
        <f>$G$48</f>
        <v>0</v>
      </c>
      <c r="S42" s="152"/>
      <c r="T42" s="152"/>
      <c r="U42" s="95"/>
      <c r="V42" s="101"/>
      <c r="W42" s="102" t="s">
        <v>122</v>
      </c>
      <c r="X42" s="102" t="s">
        <v>121</v>
      </c>
      <c r="Y42" s="102" t="s">
        <v>124</v>
      </c>
      <c r="Z42" s="102" t="s">
        <v>125</v>
      </c>
      <c r="AA42" s="102" t="s">
        <v>128</v>
      </c>
      <c r="AB42" s="102" t="s">
        <v>181</v>
      </c>
      <c r="AC42" s="103" t="s">
        <v>180</v>
      </c>
      <c r="AD42" s="164"/>
    </row>
    <row r="43" spans="1:30" ht="12.75">
      <c r="A43" s="3">
        <f t="shared" si="1"/>
        <v>-18</v>
      </c>
      <c r="B43" s="3">
        <v>3</v>
      </c>
      <c r="C43" s="162">
        <f t="shared" si="0"/>
        <v>0.3</v>
      </c>
      <c r="E43" s="3" t="s">
        <v>101</v>
      </c>
      <c r="F43" s="3">
        <f>Form!D54</f>
        <v>0</v>
      </c>
      <c r="G43" s="3" t="s">
        <v>147</v>
      </c>
      <c r="H43" s="3">
        <f>Form!F54</f>
        <v>0</v>
      </c>
      <c r="J43" s="2" t="s">
        <v>53</v>
      </c>
      <c r="K43" s="3" t="b">
        <v>0</v>
      </c>
      <c r="L43" s="2" t="s">
        <v>155</v>
      </c>
      <c r="M43" s="3">
        <f>2+IF($M$34&gt;2,1,0)+IF($M$34&gt;4,1,0)</f>
        <v>2</v>
      </c>
      <c r="O43" s="91"/>
      <c r="P43" s="92"/>
      <c r="Q43" s="93" t="s">
        <v>115</v>
      </c>
      <c r="R43" s="94">
        <f>SUM(P42,R42)</f>
        <v>0</v>
      </c>
      <c r="S43" s="93"/>
      <c r="T43" s="92"/>
      <c r="U43" s="96"/>
      <c r="V43" s="104" t="s">
        <v>118</v>
      </c>
      <c r="W43" s="113">
        <f>$P45*$X$34*(1-$Z$34)</f>
        <v>2.57834015037594</v>
      </c>
      <c r="X43" s="114">
        <f>$Q45*$X$34*$Z$34*$Z$35</f>
        <v>0.01160692</v>
      </c>
      <c r="Y43" s="114">
        <f>$R45*$X$34*$Z$34*$Z$36</f>
        <v>0.00019519578947368427</v>
      </c>
      <c r="Z43" s="114">
        <f>$S45*$X$34*$Z$34*$Z$37</f>
        <v>0</v>
      </c>
      <c r="AA43" s="114">
        <f>SUM(W43:Z43)</f>
        <v>2.590142266165414</v>
      </c>
      <c r="AB43" s="158">
        <f>$AA43*$M$38</f>
        <v>2.590142266165414</v>
      </c>
      <c r="AC43" s="115">
        <f>INDEX($A$11:$C$131,IF($H$47&gt;70,70,IF($H$47&lt;-50,-50,$H$47))+51,3)*AB43</f>
        <v>2.590142266165414</v>
      </c>
      <c r="AD43" s="163"/>
    </row>
    <row r="44" spans="1:30" ht="12.75">
      <c r="A44" s="3">
        <f t="shared" si="1"/>
        <v>-17</v>
      </c>
      <c r="B44" s="3">
        <v>3</v>
      </c>
      <c r="C44" s="162">
        <f t="shared" si="0"/>
        <v>0.3</v>
      </c>
      <c r="E44" s="3" t="s">
        <v>102</v>
      </c>
      <c r="F44" s="3">
        <f>Form!D57</f>
        <v>0</v>
      </c>
      <c r="G44" s="3" t="s">
        <v>147</v>
      </c>
      <c r="H44" s="3">
        <f>Form!F57</f>
        <v>0</v>
      </c>
      <c r="J44" s="2" t="s">
        <v>49</v>
      </c>
      <c r="K44" s="3" t="b">
        <v>0</v>
      </c>
      <c r="L44" s="2" t="s">
        <v>156</v>
      </c>
      <c r="M44" s="3">
        <f>Form!$D$31</f>
        <v>0</v>
      </c>
      <c r="O44" s="91"/>
      <c r="P44" s="93" t="s">
        <v>122</v>
      </c>
      <c r="Q44" s="93" t="s">
        <v>121</v>
      </c>
      <c r="R44" s="93" t="s">
        <v>124</v>
      </c>
      <c r="S44" s="93" t="s">
        <v>125</v>
      </c>
      <c r="T44" s="93"/>
      <c r="U44" s="96"/>
      <c r="V44" s="104" t="s">
        <v>119</v>
      </c>
      <c r="W44" s="113">
        <f>$P46*$X$34*(1-$Z$34)</f>
        <v>5.15668030075188</v>
      </c>
      <c r="X44" s="114">
        <f>$Q46*$X$34*$Z$34*$Z$35</f>
        <v>0.01874964</v>
      </c>
      <c r="Y44" s="114">
        <f>$R46*$X$34*$Z$34*$Z$36</f>
        <v>0.00028194947368421054</v>
      </c>
      <c r="Z44" s="114">
        <f>$S46*$X$34*$Z$34*$Z$37</f>
        <v>0</v>
      </c>
      <c r="AA44" s="117">
        <f>SUM(W44:Z44)</f>
        <v>5.175711890225564</v>
      </c>
      <c r="AB44" s="159">
        <f>$AA44*$M$38</f>
        <v>5.175711890225564</v>
      </c>
      <c r="AC44" s="115">
        <f>INDEX($A$11:$C$131,IF($H$47&gt;70,70,IF($H$47&lt;-50,-50,$H$47))+51,3)*AB44</f>
        <v>5.175711890225564</v>
      </c>
      <c r="AD44" s="163"/>
    </row>
    <row r="45" spans="1:30" ht="12.75">
      <c r="A45" s="3">
        <f t="shared" si="1"/>
        <v>-16</v>
      </c>
      <c r="B45" s="3">
        <v>3</v>
      </c>
      <c r="C45" s="162">
        <f t="shared" si="0"/>
        <v>0.3</v>
      </c>
      <c r="E45" s="3" t="s">
        <v>46</v>
      </c>
      <c r="F45" s="3">
        <f>Form!D60</f>
        <v>0</v>
      </c>
      <c r="G45" s="3" t="s">
        <v>147</v>
      </c>
      <c r="H45" s="3">
        <f>Form!F60</f>
        <v>0</v>
      </c>
      <c r="J45" s="2" t="s">
        <v>56</v>
      </c>
      <c r="K45" s="3" t="b">
        <v>0</v>
      </c>
      <c r="L45" s="2" t="s">
        <v>157</v>
      </c>
      <c r="M45" s="3">
        <f>SUM(M43:M44)</f>
        <v>2</v>
      </c>
      <c r="O45" s="91" t="s">
        <v>118</v>
      </c>
      <c r="P45" s="106">
        <f>(($M$41+1)/2*$M$40+$R$43)*$M$45</f>
        <v>4</v>
      </c>
      <c r="Q45" s="107">
        <f>$P45*2+5</f>
        <v>13</v>
      </c>
      <c r="R45" s="107">
        <f>$P45*2+10</f>
        <v>18</v>
      </c>
      <c r="S45" s="153">
        <f>$P45*3+15</f>
        <v>27</v>
      </c>
      <c r="T45" s="94"/>
      <c r="U45" s="95"/>
      <c r="V45" s="104" t="s">
        <v>120</v>
      </c>
      <c r="W45" s="113">
        <f>$P47*$X$34*(1-$Z$34)</f>
        <v>7.735020451127821</v>
      </c>
      <c r="X45" s="114">
        <f>$Q47*$X$34*$Z$34*$Z$35</f>
        <v>0.025892360000000003</v>
      </c>
      <c r="Y45" s="114">
        <f>$R47*$X$34*$Z$34*$Z$36</f>
        <v>0.00036870315789473685</v>
      </c>
      <c r="Z45" s="114">
        <f>$S47*$X$34*$Z$34*$Z$37</f>
        <v>0</v>
      </c>
      <c r="AA45" s="117">
        <f>SUM(W45:Z45)</f>
        <v>7.761281514285716</v>
      </c>
      <c r="AB45" s="159">
        <f>$AA45*$M$38</f>
        <v>7.761281514285716</v>
      </c>
      <c r="AC45" s="115">
        <f>INDEX($A$11:$C$131,IF($H$47&gt;70,70,IF($H$47&lt;-50,-50,$H$47))+51,3)*AB45</f>
        <v>7.761281514285716</v>
      </c>
      <c r="AD45" s="163"/>
    </row>
    <row r="46" spans="1:30" ht="13.5" thickBot="1">
      <c r="A46" s="3">
        <f t="shared" si="1"/>
        <v>-15</v>
      </c>
      <c r="B46" s="3">
        <v>4</v>
      </c>
      <c r="C46" s="162">
        <f t="shared" si="0"/>
        <v>0.4</v>
      </c>
      <c r="E46" s="3" t="s">
        <v>47</v>
      </c>
      <c r="F46" s="3">
        <f>Form!D63</f>
        <v>0</v>
      </c>
      <c r="G46" s="3" t="s">
        <v>147</v>
      </c>
      <c r="H46" s="3">
        <f>Form!F63</f>
        <v>0</v>
      </c>
      <c r="J46" s="2"/>
      <c r="O46" s="91" t="s">
        <v>119</v>
      </c>
      <c r="P46" s="109">
        <f>$P$45*2</f>
        <v>8</v>
      </c>
      <c r="Q46" s="110">
        <f>$P46*2+5</f>
        <v>21</v>
      </c>
      <c r="R46" s="110">
        <f>$P46*2+10</f>
        <v>26</v>
      </c>
      <c r="S46" s="154">
        <f>$P46*3+15</f>
        <v>39</v>
      </c>
      <c r="T46" s="94"/>
      <c r="U46" s="95"/>
      <c r="V46" s="105" t="s">
        <v>123</v>
      </c>
      <c r="W46" s="118">
        <f>$P48*$X$34*(1-$Z$34)</f>
        <v>12.891700751879702</v>
      </c>
      <c r="X46" s="119">
        <f>$Q48*$X$34*$Z$34*$Z$35</f>
        <v>0.0401778</v>
      </c>
      <c r="Y46" s="119">
        <f>$R48*$X$34*$Z$34*$Z$36</f>
        <v>0.0005422105263157896</v>
      </c>
      <c r="Z46" s="119">
        <f>$S48*$X$34*$Z$34*$Z$37</f>
        <v>0</v>
      </c>
      <c r="AA46" s="119">
        <f>SUM(W46:Z46)</f>
        <v>12.932420762406018</v>
      </c>
      <c r="AB46" s="160">
        <f>$AA46*$M$38</f>
        <v>12.932420762406018</v>
      </c>
      <c r="AC46" s="120">
        <f>INDEX($A$11:$C$131,IF($H$47&gt;70,70,IF($H$47&lt;-50,-50,$H$47))+51,3)*AB46</f>
        <v>12.932420762406018</v>
      </c>
      <c r="AD46" s="163"/>
    </row>
    <row r="47" spans="1:21" ht="13.5" thickTop="1">
      <c r="A47" s="3">
        <f t="shared" si="1"/>
        <v>-14</v>
      </c>
      <c r="B47" s="3">
        <v>4</v>
      </c>
      <c r="C47" s="162">
        <f t="shared" si="0"/>
        <v>0.4</v>
      </c>
      <c r="E47" s="3" t="s">
        <v>103</v>
      </c>
      <c r="F47" s="3">
        <f>SUM(F35:F46)</f>
        <v>0</v>
      </c>
      <c r="G47" s="3">
        <f>SUM(G35:G46)</f>
        <v>0</v>
      </c>
      <c r="H47" s="3">
        <f>SUM(H35:H46)+IF(K22,10,0)</f>
        <v>0</v>
      </c>
      <c r="J47" s="2"/>
      <c r="O47" s="91" t="s">
        <v>120</v>
      </c>
      <c r="P47" s="109">
        <f>$P$45*3</f>
        <v>12</v>
      </c>
      <c r="Q47" s="110">
        <f>$P47*2+5</f>
        <v>29</v>
      </c>
      <c r="R47" s="110">
        <f>$P47*2+10</f>
        <v>34</v>
      </c>
      <c r="S47" s="154">
        <f>$P47*3+15</f>
        <v>51</v>
      </c>
      <c r="T47" s="94"/>
      <c r="U47" s="95"/>
    </row>
    <row r="48" spans="1:21" ht="13.5" thickBot="1">
      <c r="A48" s="3">
        <f t="shared" si="1"/>
        <v>-13</v>
      </c>
      <c r="B48" s="3">
        <v>4</v>
      </c>
      <c r="C48" s="162">
        <f t="shared" si="0"/>
        <v>0.4</v>
      </c>
      <c r="E48" s="3" t="s">
        <v>137</v>
      </c>
      <c r="F48" s="3">
        <f>Form!$E$29</f>
        <v>0</v>
      </c>
      <c r="G48" s="3">
        <f>Form!$E$32</f>
        <v>0</v>
      </c>
      <c r="H48" s="3" t="s">
        <v>147</v>
      </c>
      <c r="J48" s="2"/>
      <c r="O48" s="97" t="s">
        <v>123</v>
      </c>
      <c r="P48" s="111">
        <f>$P$45*5</f>
        <v>20</v>
      </c>
      <c r="Q48" s="112">
        <f>$P48*2+5</f>
        <v>45</v>
      </c>
      <c r="R48" s="112">
        <f>$P48*2+10</f>
        <v>50</v>
      </c>
      <c r="S48" s="155">
        <f>$P48*3+15</f>
        <v>75</v>
      </c>
      <c r="T48" s="156"/>
      <c r="U48" s="157"/>
    </row>
    <row r="49" spans="1:10" ht="13.5" thickTop="1">
      <c r="A49" s="3">
        <f t="shared" si="1"/>
        <v>-12</v>
      </c>
      <c r="B49" s="3">
        <v>4</v>
      </c>
      <c r="C49" s="162">
        <f t="shared" si="0"/>
        <v>0.4</v>
      </c>
      <c r="J49" s="2"/>
    </row>
    <row r="50" spans="1:10" ht="12.75">
      <c r="A50" s="3">
        <f t="shared" si="1"/>
        <v>-11</v>
      </c>
      <c r="B50" s="3">
        <v>4</v>
      </c>
      <c r="C50" s="162">
        <f t="shared" si="0"/>
        <v>0.4</v>
      </c>
      <c r="J50" s="2"/>
    </row>
    <row r="51" spans="1:10" ht="12.75">
      <c r="A51" s="3">
        <f t="shared" si="1"/>
        <v>-10</v>
      </c>
      <c r="B51" s="3">
        <v>5</v>
      </c>
      <c r="C51" s="162">
        <f t="shared" si="0"/>
        <v>0.5</v>
      </c>
      <c r="J51" s="2"/>
    </row>
    <row r="52" spans="1:10" ht="12.75">
      <c r="A52" s="3">
        <f t="shared" si="1"/>
        <v>-9</v>
      </c>
      <c r="B52" s="3">
        <v>5</v>
      </c>
      <c r="C52" s="162">
        <f t="shared" si="0"/>
        <v>0.5</v>
      </c>
      <c r="J52" s="2"/>
    </row>
    <row r="53" spans="1:5" ht="12.75">
      <c r="A53" s="3">
        <f t="shared" si="1"/>
        <v>-8</v>
      </c>
      <c r="B53" s="3">
        <v>5</v>
      </c>
      <c r="C53" s="162">
        <f t="shared" si="0"/>
        <v>0.5</v>
      </c>
      <c r="E53" s="2" t="s">
        <v>207</v>
      </c>
    </row>
    <row r="54" spans="1:8" ht="12.75">
      <c r="A54" s="3">
        <f t="shared" si="1"/>
        <v>-7</v>
      </c>
      <c r="B54" s="3">
        <v>5</v>
      </c>
      <c r="C54" s="162">
        <f t="shared" si="0"/>
        <v>0.5</v>
      </c>
      <c r="E54" s="2" t="s">
        <v>208</v>
      </c>
      <c r="F54" s="2" t="s">
        <v>36</v>
      </c>
      <c r="G54" s="2" t="s">
        <v>27</v>
      </c>
      <c r="H54" s="2" t="s">
        <v>255</v>
      </c>
    </row>
    <row r="55" spans="1:9" ht="12.75">
      <c r="A55" s="3">
        <f t="shared" si="1"/>
        <v>-6</v>
      </c>
      <c r="B55" s="3">
        <v>6</v>
      </c>
      <c r="C55" s="162">
        <f t="shared" si="0"/>
        <v>0.6</v>
      </c>
      <c r="E55" s="3" t="s">
        <v>38</v>
      </c>
      <c r="F55" s="3">
        <v>1</v>
      </c>
      <c r="H55" s="3" t="s">
        <v>256</v>
      </c>
      <c r="I55">
        <f>INDEX(Rings!$A$2:$A$28,$F55)</f>
        <v>0</v>
      </c>
    </row>
    <row r="56" spans="1:9" ht="12.75">
      <c r="A56" s="3">
        <f t="shared" si="1"/>
        <v>-5</v>
      </c>
      <c r="B56" s="3">
        <v>6</v>
      </c>
      <c r="C56" s="162">
        <f t="shared" si="0"/>
        <v>0.6</v>
      </c>
      <c r="E56" s="3" t="s">
        <v>39</v>
      </c>
      <c r="F56" s="3">
        <v>3</v>
      </c>
      <c r="H56" s="3" t="s">
        <v>256</v>
      </c>
      <c r="I56">
        <f>INDEX(Rings!$A$2:$A$28,$F56)</f>
        <v>0</v>
      </c>
    </row>
    <row r="57" spans="1:9" ht="12.75">
      <c r="A57" s="3">
        <f t="shared" si="1"/>
        <v>-4</v>
      </c>
      <c r="B57" s="3">
        <v>7</v>
      </c>
      <c r="C57" s="162">
        <f t="shared" si="0"/>
        <v>0.7000000000000001</v>
      </c>
      <c r="E57" s="3" t="s">
        <v>40</v>
      </c>
      <c r="F57" s="3">
        <v>1</v>
      </c>
      <c r="H57" s="3" t="s">
        <v>256</v>
      </c>
      <c r="I57">
        <f>INDEX(Amulets!$A$2:$A$30,$F57)</f>
        <v>0</v>
      </c>
    </row>
    <row r="58" spans="1:9" ht="12.75">
      <c r="A58" s="3">
        <f t="shared" si="1"/>
        <v>-3</v>
      </c>
      <c r="B58" s="3">
        <v>7</v>
      </c>
      <c r="C58" s="162">
        <f t="shared" si="0"/>
        <v>0.7000000000000001</v>
      </c>
      <c r="E58" s="3" t="s">
        <v>41</v>
      </c>
      <c r="F58" s="3">
        <v>1</v>
      </c>
      <c r="H58" s="3" t="s">
        <v>256</v>
      </c>
      <c r="I58">
        <f>INDEX('Light Sources'!$A$2:$A$29,$F58)</f>
        <v>0</v>
      </c>
    </row>
    <row r="59" spans="1:9" ht="12.75">
      <c r="A59" s="3">
        <f t="shared" si="1"/>
        <v>-2</v>
      </c>
      <c r="B59" s="3">
        <v>8</v>
      </c>
      <c r="C59" s="162">
        <f t="shared" si="0"/>
        <v>0.8</v>
      </c>
      <c r="E59" s="3" t="s">
        <v>42</v>
      </c>
      <c r="F59" s="3">
        <v>1</v>
      </c>
      <c r="I59">
        <f>INDEX(Armor!$A$2:$A$30,$F59)</f>
        <v>0</v>
      </c>
    </row>
    <row r="60" spans="1:9" ht="12.75">
      <c r="A60" s="3">
        <f t="shared" si="1"/>
        <v>-1</v>
      </c>
      <c r="B60" s="3">
        <v>9</v>
      </c>
      <c r="C60" s="162">
        <f t="shared" si="0"/>
        <v>0.8999999999999999</v>
      </c>
      <c r="E60" s="3" t="s">
        <v>43</v>
      </c>
      <c r="F60" s="3">
        <v>1</v>
      </c>
      <c r="H60" s="3" t="s">
        <v>256</v>
      </c>
      <c r="I60">
        <f>INDEX(Cloaks!$A$2:$A$30,$F60)</f>
        <v>0</v>
      </c>
    </row>
    <row r="61" spans="1:9" ht="12.75">
      <c r="A61" s="3">
        <f t="shared" si="1"/>
        <v>0</v>
      </c>
      <c r="B61" s="3">
        <v>10</v>
      </c>
      <c r="C61" s="162">
        <f>B61/100*10</f>
        <v>1</v>
      </c>
      <c r="E61" s="3" t="s">
        <v>44</v>
      </c>
      <c r="F61" s="3">
        <v>1</v>
      </c>
      <c r="H61" s="3" t="s">
        <v>256</v>
      </c>
      <c r="I61">
        <f>INDEX(Shields!$A$2:$A$30,$F61)</f>
        <v>0</v>
      </c>
    </row>
    <row r="62" spans="1:9" ht="12.75">
      <c r="A62" s="3">
        <f t="shared" si="1"/>
        <v>1</v>
      </c>
      <c r="B62" s="3">
        <v>11</v>
      </c>
      <c r="C62" s="162">
        <f aca="true" t="shared" si="2" ref="C62:C125">B62/100*10</f>
        <v>1.1</v>
      </c>
      <c r="E62" s="3" t="s">
        <v>45</v>
      </c>
      <c r="F62" s="3">
        <v>1</v>
      </c>
      <c r="H62" s="3" t="s">
        <v>256</v>
      </c>
      <c r="I62">
        <f>INDEX(Headgear!$A$2:$A$30,$F62)</f>
        <v>0</v>
      </c>
    </row>
    <row r="63" spans="1:9" ht="12.75">
      <c r="A63" s="3">
        <f t="shared" si="1"/>
        <v>2</v>
      </c>
      <c r="B63" s="3">
        <v>12</v>
      </c>
      <c r="C63" s="162">
        <f t="shared" si="2"/>
        <v>1.2</v>
      </c>
      <c r="E63" s="3" t="s">
        <v>46</v>
      </c>
      <c r="F63" s="3">
        <v>1</v>
      </c>
      <c r="H63" s="3" t="s">
        <v>256</v>
      </c>
      <c r="I63">
        <f>INDEX(Gloves!$A$2:$A$29,$F63)</f>
        <v>0</v>
      </c>
    </row>
    <row r="64" spans="1:9" ht="12.75">
      <c r="A64" s="3">
        <f t="shared" si="1"/>
        <v>3</v>
      </c>
      <c r="B64" s="3">
        <v>13</v>
      </c>
      <c r="C64" s="162">
        <f t="shared" si="2"/>
        <v>1.3</v>
      </c>
      <c r="E64" s="3" t="s">
        <v>47</v>
      </c>
      <c r="F64" s="3">
        <v>1</v>
      </c>
      <c r="H64" s="3" t="s">
        <v>256</v>
      </c>
      <c r="I64">
        <f>INDEX(Boots!$A$2:$A$30,$F64)</f>
        <v>0</v>
      </c>
    </row>
    <row r="65" spans="1:3" ht="12.75">
      <c r="A65" s="3">
        <f t="shared" si="1"/>
        <v>4</v>
      </c>
      <c r="B65" s="3">
        <v>14</v>
      </c>
      <c r="C65" s="162">
        <f t="shared" si="2"/>
        <v>1.4000000000000001</v>
      </c>
    </row>
    <row r="66" spans="1:3" ht="12.75">
      <c r="A66" s="3">
        <f t="shared" si="1"/>
        <v>5</v>
      </c>
      <c r="B66" s="3">
        <v>15</v>
      </c>
      <c r="C66" s="162">
        <f t="shared" si="2"/>
        <v>1.5</v>
      </c>
    </row>
    <row r="67" spans="1:3" ht="12.75">
      <c r="A67" s="3">
        <f t="shared" si="1"/>
        <v>6</v>
      </c>
      <c r="B67" s="3">
        <v>16</v>
      </c>
      <c r="C67" s="162">
        <f t="shared" si="2"/>
        <v>1.6</v>
      </c>
    </row>
    <row r="68" spans="1:3" ht="12.75">
      <c r="A68" s="3">
        <f t="shared" si="1"/>
        <v>7</v>
      </c>
      <c r="B68" s="3">
        <v>17</v>
      </c>
      <c r="C68" s="162">
        <f t="shared" si="2"/>
        <v>1.7000000000000002</v>
      </c>
    </row>
    <row r="69" spans="1:3" ht="12.75">
      <c r="A69" s="3">
        <f t="shared" si="1"/>
        <v>8</v>
      </c>
      <c r="B69" s="3">
        <v>18</v>
      </c>
      <c r="C69" s="162">
        <f t="shared" si="2"/>
        <v>1.7999999999999998</v>
      </c>
    </row>
    <row r="70" spans="1:3" ht="12.75">
      <c r="A70" s="3">
        <f t="shared" si="1"/>
        <v>9</v>
      </c>
      <c r="B70" s="3">
        <v>19</v>
      </c>
      <c r="C70" s="162">
        <f t="shared" si="2"/>
        <v>1.9</v>
      </c>
    </row>
    <row r="71" spans="1:3" ht="12.75">
      <c r="A71" s="3">
        <f t="shared" si="1"/>
        <v>10</v>
      </c>
      <c r="B71" s="3">
        <v>20</v>
      </c>
      <c r="C71" s="162">
        <f t="shared" si="2"/>
        <v>2</v>
      </c>
    </row>
    <row r="72" spans="1:3" ht="12.75">
      <c r="A72" s="3">
        <f t="shared" si="1"/>
        <v>11</v>
      </c>
      <c r="B72" s="3">
        <v>21</v>
      </c>
      <c r="C72" s="162">
        <f t="shared" si="2"/>
        <v>2.1</v>
      </c>
    </row>
    <row r="73" spans="1:3" ht="12.75">
      <c r="A73" s="3">
        <f t="shared" si="1"/>
        <v>12</v>
      </c>
      <c r="B73" s="3">
        <v>22</v>
      </c>
      <c r="C73" s="162">
        <f t="shared" si="2"/>
        <v>2.2</v>
      </c>
    </row>
    <row r="74" spans="1:3" ht="12.75">
      <c r="A74" s="3">
        <f t="shared" si="1"/>
        <v>13</v>
      </c>
      <c r="B74" s="3">
        <v>23</v>
      </c>
      <c r="C74" s="162">
        <f t="shared" si="2"/>
        <v>2.3000000000000003</v>
      </c>
    </row>
    <row r="75" spans="1:3" ht="12.75">
      <c r="A75" s="3">
        <f t="shared" si="1"/>
        <v>14</v>
      </c>
      <c r="B75" s="3">
        <v>24</v>
      </c>
      <c r="C75" s="162">
        <f t="shared" si="2"/>
        <v>2.4</v>
      </c>
    </row>
    <row r="76" spans="1:3" ht="12.75">
      <c r="A76" s="3">
        <f t="shared" si="1"/>
        <v>15</v>
      </c>
      <c r="B76" s="3">
        <v>25</v>
      </c>
      <c r="C76" s="162">
        <f t="shared" si="2"/>
        <v>2.5</v>
      </c>
    </row>
    <row r="77" spans="1:3" ht="12.75">
      <c r="A77" s="3">
        <f t="shared" si="1"/>
        <v>16</v>
      </c>
      <c r="B77" s="3">
        <v>26</v>
      </c>
      <c r="C77" s="162">
        <f t="shared" si="2"/>
        <v>2.6</v>
      </c>
    </row>
    <row r="78" spans="1:3" ht="12.75">
      <c r="A78" s="3">
        <f aca="true" t="shared" si="3" ref="A78:A131">A77+1</f>
        <v>17</v>
      </c>
      <c r="B78" s="3">
        <v>27</v>
      </c>
      <c r="C78" s="162">
        <f t="shared" si="2"/>
        <v>2.7</v>
      </c>
    </row>
    <row r="79" spans="1:3" ht="12.75">
      <c r="A79" s="3">
        <f t="shared" si="3"/>
        <v>18</v>
      </c>
      <c r="B79" s="3">
        <v>28</v>
      </c>
      <c r="C79" s="162">
        <f t="shared" si="2"/>
        <v>2.8000000000000003</v>
      </c>
    </row>
    <row r="80" spans="1:3" ht="12.75">
      <c r="A80" s="3">
        <f t="shared" si="3"/>
        <v>19</v>
      </c>
      <c r="B80" s="3">
        <v>29</v>
      </c>
      <c r="C80" s="162">
        <f t="shared" si="2"/>
        <v>2.9</v>
      </c>
    </row>
    <row r="81" spans="1:3" ht="12.75">
      <c r="A81" s="3">
        <f t="shared" si="3"/>
        <v>20</v>
      </c>
      <c r="B81" s="3">
        <v>30</v>
      </c>
      <c r="C81" s="162">
        <f t="shared" si="2"/>
        <v>3</v>
      </c>
    </row>
    <row r="82" spans="1:3" ht="12.75">
      <c r="A82" s="3">
        <f t="shared" si="3"/>
        <v>21</v>
      </c>
      <c r="B82" s="3">
        <v>31</v>
      </c>
      <c r="C82" s="162">
        <f t="shared" si="2"/>
        <v>3.1</v>
      </c>
    </row>
    <row r="83" spans="1:3" ht="12.75">
      <c r="A83" s="3">
        <f t="shared" si="3"/>
        <v>22</v>
      </c>
      <c r="B83" s="3">
        <v>32</v>
      </c>
      <c r="C83" s="162">
        <f t="shared" si="2"/>
        <v>3.2</v>
      </c>
    </row>
    <row r="84" spans="1:3" ht="12.75">
      <c r="A84" s="3">
        <f t="shared" si="3"/>
        <v>23</v>
      </c>
      <c r="B84" s="3">
        <v>33</v>
      </c>
      <c r="C84" s="162">
        <f t="shared" si="2"/>
        <v>3.3000000000000003</v>
      </c>
    </row>
    <row r="85" spans="1:3" ht="12.75">
      <c r="A85" s="3">
        <f t="shared" si="3"/>
        <v>24</v>
      </c>
      <c r="B85" s="3">
        <v>34</v>
      </c>
      <c r="C85" s="162">
        <f t="shared" si="2"/>
        <v>3.4000000000000004</v>
      </c>
    </row>
    <row r="86" spans="1:3" ht="12.75">
      <c r="A86" s="3">
        <f t="shared" si="3"/>
        <v>25</v>
      </c>
      <c r="B86" s="3">
        <v>35</v>
      </c>
      <c r="C86" s="162">
        <f t="shared" si="2"/>
        <v>3.5</v>
      </c>
    </row>
    <row r="87" spans="1:3" ht="12.75">
      <c r="A87" s="3">
        <f t="shared" si="3"/>
        <v>26</v>
      </c>
      <c r="B87" s="3">
        <v>36</v>
      </c>
      <c r="C87" s="162">
        <f t="shared" si="2"/>
        <v>3.5999999999999996</v>
      </c>
    </row>
    <row r="88" spans="1:3" ht="12.75">
      <c r="A88" s="3">
        <f t="shared" si="3"/>
        <v>27</v>
      </c>
      <c r="B88" s="3">
        <v>36</v>
      </c>
      <c r="C88" s="162">
        <f t="shared" si="2"/>
        <v>3.5999999999999996</v>
      </c>
    </row>
    <row r="89" spans="1:3" ht="12.75">
      <c r="A89" s="3">
        <f t="shared" si="3"/>
        <v>28</v>
      </c>
      <c r="B89" s="3">
        <v>37</v>
      </c>
      <c r="C89" s="162">
        <f t="shared" si="2"/>
        <v>3.7</v>
      </c>
    </row>
    <row r="90" spans="1:3" ht="12.75">
      <c r="A90" s="3">
        <f t="shared" si="3"/>
        <v>29</v>
      </c>
      <c r="B90" s="3">
        <v>37</v>
      </c>
      <c r="C90" s="162">
        <f t="shared" si="2"/>
        <v>3.7</v>
      </c>
    </row>
    <row r="91" spans="1:3" ht="12.75">
      <c r="A91" s="3">
        <f t="shared" si="3"/>
        <v>30</v>
      </c>
      <c r="B91" s="3">
        <v>38</v>
      </c>
      <c r="C91" s="162">
        <f t="shared" si="2"/>
        <v>3.8</v>
      </c>
    </row>
    <row r="92" spans="1:3" ht="12.75">
      <c r="A92" s="3">
        <f t="shared" si="3"/>
        <v>31</v>
      </c>
      <c r="B92" s="3">
        <v>38</v>
      </c>
      <c r="C92" s="162">
        <f t="shared" si="2"/>
        <v>3.8</v>
      </c>
    </row>
    <row r="93" spans="1:3" ht="12.75">
      <c r="A93" s="3">
        <f t="shared" si="3"/>
        <v>32</v>
      </c>
      <c r="B93" s="3">
        <v>39</v>
      </c>
      <c r="C93" s="162">
        <f t="shared" si="2"/>
        <v>3.9000000000000004</v>
      </c>
    </row>
    <row r="94" spans="1:3" ht="12.75">
      <c r="A94" s="3">
        <f t="shared" si="3"/>
        <v>33</v>
      </c>
      <c r="B94" s="3">
        <v>39</v>
      </c>
      <c r="C94" s="162">
        <f t="shared" si="2"/>
        <v>3.9000000000000004</v>
      </c>
    </row>
    <row r="95" spans="1:3" ht="12.75">
      <c r="A95" s="3">
        <f t="shared" si="3"/>
        <v>34</v>
      </c>
      <c r="B95" s="3">
        <v>40</v>
      </c>
      <c r="C95" s="162">
        <f t="shared" si="2"/>
        <v>4</v>
      </c>
    </row>
    <row r="96" spans="1:3" ht="12.75">
      <c r="A96" s="3">
        <f t="shared" si="3"/>
        <v>35</v>
      </c>
      <c r="B96" s="3">
        <v>40</v>
      </c>
      <c r="C96" s="162">
        <f t="shared" si="2"/>
        <v>4</v>
      </c>
    </row>
    <row r="97" spans="1:3" ht="12.75">
      <c r="A97" s="3">
        <f t="shared" si="3"/>
        <v>36</v>
      </c>
      <c r="B97" s="3">
        <v>40</v>
      </c>
      <c r="C97" s="162">
        <f t="shared" si="2"/>
        <v>4</v>
      </c>
    </row>
    <row r="98" spans="1:3" ht="12.75">
      <c r="A98" s="3">
        <f t="shared" si="3"/>
        <v>37</v>
      </c>
      <c r="B98" s="3">
        <v>41</v>
      </c>
      <c r="C98" s="162">
        <f t="shared" si="2"/>
        <v>4.1</v>
      </c>
    </row>
    <row r="99" spans="1:3" ht="12.75">
      <c r="A99" s="3">
        <f t="shared" si="3"/>
        <v>38</v>
      </c>
      <c r="B99" s="3">
        <v>41</v>
      </c>
      <c r="C99" s="162">
        <f t="shared" si="2"/>
        <v>4.1</v>
      </c>
    </row>
    <row r="100" spans="1:3" ht="12.75">
      <c r="A100" s="3">
        <f t="shared" si="3"/>
        <v>39</v>
      </c>
      <c r="B100" s="3">
        <v>41</v>
      </c>
      <c r="C100" s="162">
        <f t="shared" si="2"/>
        <v>4.1</v>
      </c>
    </row>
    <row r="101" spans="1:3" ht="12.75">
      <c r="A101" s="3">
        <f t="shared" si="3"/>
        <v>40</v>
      </c>
      <c r="B101" s="3">
        <v>42</v>
      </c>
      <c r="C101" s="162">
        <f t="shared" si="2"/>
        <v>4.2</v>
      </c>
    </row>
    <row r="102" spans="1:3" ht="12.75">
      <c r="A102" s="3">
        <f t="shared" si="3"/>
        <v>41</v>
      </c>
      <c r="B102" s="3">
        <v>42</v>
      </c>
      <c r="C102" s="162">
        <f t="shared" si="2"/>
        <v>4.2</v>
      </c>
    </row>
    <row r="103" spans="1:3" ht="12.75">
      <c r="A103" s="3">
        <f t="shared" si="3"/>
        <v>42</v>
      </c>
      <c r="B103" s="3">
        <v>42</v>
      </c>
      <c r="C103" s="162">
        <f t="shared" si="2"/>
        <v>4.2</v>
      </c>
    </row>
    <row r="104" spans="1:3" ht="12.75">
      <c r="A104" s="3">
        <f t="shared" si="3"/>
        <v>43</v>
      </c>
      <c r="B104" s="3">
        <v>43</v>
      </c>
      <c r="C104" s="162">
        <f t="shared" si="2"/>
        <v>4.3</v>
      </c>
    </row>
    <row r="105" spans="1:3" ht="12.75">
      <c r="A105" s="3">
        <f t="shared" si="3"/>
        <v>44</v>
      </c>
      <c r="B105" s="3">
        <v>43</v>
      </c>
      <c r="C105" s="162">
        <f t="shared" si="2"/>
        <v>4.3</v>
      </c>
    </row>
    <row r="106" spans="1:3" ht="12.75">
      <c r="A106" s="3">
        <f t="shared" si="3"/>
        <v>45</v>
      </c>
      <c r="B106" s="3">
        <v>43</v>
      </c>
      <c r="C106" s="162">
        <f t="shared" si="2"/>
        <v>4.3</v>
      </c>
    </row>
    <row r="107" spans="1:3" ht="12.75">
      <c r="A107" s="3">
        <f t="shared" si="3"/>
        <v>46</v>
      </c>
      <c r="B107" s="3">
        <v>44</v>
      </c>
      <c r="C107" s="162">
        <f t="shared" si="2"/>
        <v>4.4</v>
      </c>
    </row>
    <row r="108" spans="1:3" ht="12.75">
      <c r="A108" s="3">
        <f t="shared" si="3"/>
        <v>47</v>
      </c>
      <c r="B108" s="3">
        <v>44</v>
      </c>
      <c r="C108" s="162">
        <f t="shared" si="2"/>
        <v>4.4</v>
      </c>
    </row>
    <row r="109" spans="1:3" ht="12.75">
      <c r="A109" s="3">
        <f t="shared" si="3"/>
        <v>48</v>
      </c>
      <c r="B109" s="3">
        <v>44</v>
      </c>
      <c r="C109" s="162">
        <f t="shared" si="2"/>
        <v>4.4</v>
      </c>
    </row>
    <row r="110" spans="1:3" ht="12.75">
      <c r="A110" s="3">
        <f t="shared" si="3"/>
        <v>49</v>
      </c>
      <c r="B110" s="3">
        <v>44</v>
      </c>
      <c r="C110" s="162">
        <f t="shared" si="2"/>
        <v>4.4</v>
      </c>
    </row>
    <row r="111" spans="1:3" ht="12.75">
      <c r="A111" s="3">
        <f t="shared" si="3"/>
        <v>50</v>
      </c>
      <c r="B111" s="3">
        <v>45</v>
      </c>
      <c r="C111" s="162">
        <f t="shared" si="2"/>
        <v>4.5</v>
      </c>
    </row>
    <row r="112" spans="1:3" ht="12.75">
      <c r="A112" s="3">
        <f t="shared" si="3"/>
        <v>51</v>
      </c>
      <c r="B112" s="3">
        <v>45</v>
      </c>
      <c r="C112" s="162">
        <f t="shared" si="2"/>
        <v>4.5</v>
      </c>
    </row>
    <row r="113" spans="1:3" ht="12.75">
      <c r="A113" s="3">
        <f t="shared" si="3"/>
        <v>52</v>
      </c>
      <c r="B113" s="3">
        <v>45</v>
      </c>
      <c r="C113" s="162">
        <f t="shared" si="2"/>
        <v>4.5</v>
      </c>
    </row>
    <row r="114" spans="1:3" ht="12.75">
      <c r="A114" s="3">
        <f t="shared" si="3"/>
        <v>53</v>
      </c>
      <c r="B114" s="3">
        <v>45</v>
      </c>
      <c r="C114" s="162">
        <f t="shared" si="2"/>
        <v>4.5</v>
      </c>
    </row>
    <row r="115" spans="1:3" ht="12.75">
      <c r="A115" s="3">
        <f t="shared" si="3"/>
        <v>54</v>
      </c>
      <c r="B115" s="3">
        <v>45</v>
      </c>
      <c r="C115" s="162">
        <f t="shared" si="2"/>
        <v>4.5</v>
      </c>
    </row>
    <row r="116" spans="1:3" ht="12.75">
      <c r="A116" s="3">
        <f t="shared" si="3"/>
        <v>55</v>
      </c>
      <c r="B116" s="3">
        <v>46</v>
      </c>
      <c r="C116" s="162">
        <f t="shared" si="2"/>
        <v>4.6000000000000005</v>
      </c>
    </row>
    <row r="117" spans="1:3" ht="12.75">
      <c r="A117" s="3">
        <f t="shared" si="3"/>
        <v>56</v>
      </c>
      <c r="B117" s="3">
        <v>46</v>
      </c>
      <c r="C117" s="162">
        <f t="shared" si="2"/>
        <v>4.6000000000000005</v>
      </c>
    </row>
    <row r="118" spans="1:3" ht="12.75">
      <c r="A118" s="3">
        <f t="shared" si="3"/>
        <v>57</v>
      </c>
      <c r="B118" s="3">
        <v>46</v>
      </c>
      <c r="C118" s="162">
        <f t="shared" si="2"/>
        <v>4.6000000000000005</v>
      </c>
    </row>
    <row r="119" spans="1:3" ht="12.75">
      <c r="A119" s="3">
        <f t="shared" si="3"/>
        <v>58</v>
      </c>
      <c r="B119" s="3">
        <v>46</v>
      </c>
      <c r="C119" s="162">
        <f t="shared" si="2"/>
        <v>4.6000000000000005</v>
      </c>
    </row>
    <row r="120" spans="1:3" ht="12.75">
      <c r="A120" s="3">
        <f t="shared" si="3"/>
        <v>59</v>
      </c>
      <c r="B120" s="3">
        <v>46</v>
      </c>
      <c r="C120" s="162">
        <f t="shared" si="2"/>
        <v>4.6000000000000005</v>
      </c>
    </row>
    <row r="121" spans="1:3" ht="12.75">
      <c r="A121" s="3">
        <f t="shared" si="3"/>
        <v>60</v>
      </c>
      <c r="B121" s="3">
        <v>47</v>
      </c>
      <c r="C121" s="162">
        <f t="shared" si="2"/>
        <v>4.699999999999999</v>
      </c>
    </row>
    <row r="122" spans="1:3" ht="12.75">
      <c r="A122" s="3">
        <f t="shared" si="3"/>
        <v>61</v>
      </c>
      <c r="B122" s="3">
        <v>47</v>
      </c>
      <c r="C122" s="162">
        <f t="shared" si="2"/>
        <v>4.699999999999999</v>
      </c>
    </row>
    <row r="123" spans="1:3" ht="12.75">
      <c r="A123" s="3">
        <f t="shared" si="3"/>
        <v>62</v>
      </c>
      <c r="B123" s="3">
        <v>47</v>
      </c>
      <c r="C123" s="162">
        <f t="shared" si="2"/>
        <v>4.699999999999999</v>
      </c>
    </row>
    <row r="124" spans="1:3" ht="12.75">
      <c r="A124" s="3">
        <f t="shared" si="3"/>
        <v>63</v>
      </c>
      <c r="B124" s="3">
        <v>47</v>
      </c>
      <c r="C124" s="162">
        <f t="shared" si="2"/>
        <v>4.699999999999999</v>
      </c>
    </row>
    <row r="125" spans="1:3" ht="12.75">
      <c r="A125" s="3">
        <f t="shared" si="3"/>
        <v>64</v>
      </c>
      <c r="B125" s="3">
        <v>47</v>
      </c>
      <c r="C125" s="162">
        <f t="shared" si="2"/>
        <v>4.699999999999999</v>
      </c>
    </row>
    <row r="126" spans="1:3" ht="12.75">
      <c r="A126" s="3">
        <f t="shared" si="3"/>
        <v>65</v>
      </c>
      <c r="B126" s="3">
        <v>48</v>
      </c>
      <c r="C126" s="162">
        <f aca="true" t="shared" si="4" ref="C126:C131">B126/100*10</f>
        <v>4.8</v>
      </c>
    </row>
    <row r="127" spans="1:3" ht="12.75">
      <c r="A127" s="3">
        <f t="shared" si="3"/>
        <v>66</v>
      </c>
      <c r="B127" s="3">
        <v>48</v>
      </c>
      <c r="C127" s="162">
        <f t="shared" si="4"/>
        <v>4.8</v>
      </c>
    </row>
    <row r="128" spans="1:3" ht="12.75">
      <c r="A128" s="3">
        <f t="shared" si="3"/>
        <v>67</v>
      </c>
      <c r="B128" s="3">
        <v>48</v>
      </c>
      <c r="C128" s="162">
        <f t="shared" si="4"/>
        <v>4.8</v>
      </c>
    </row>
    <row r="129" spans="1:3" ht="12.75">
      <c r="A129" s="3">
        <f t="shared" si="3"/>
        <v>68</v>
      </c>
      <c r="B129" s="3">
        <v>48</v>
      </c>
      <c r="C129" s="162">
        <f t="shared" si="4"/>
        <v>4.8</v>
      </c>
    </row>
    <row r="130" spans="1:3" ht="12.75">
      <c r="A130" s="3">
        <f t="shared" si="3"/>
        <v>69</v>
      </c>
      <c r="B130" s="3">
        <v>48</v>
      </c>
      <c r="C130" s="162">
        <f t="shared" si="4"/>
        <v>4.8</v>
      </c>
    </row>
    <row r="131" spans="1:3" ht="12.75">
      <c r="A131" s="3">
        <f t="shared" si="3"/>
        <v>70</v>
      </c>
      <c r="B131" s="3">
        <v>49</v>
      </c>
      <c r="C131" s="162">
        <f t="shared" si="4"/>
        <v>4.9</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2"/>
  <dimension ref="A1:Q35"/>
  <sheetViews>
    <sheetView workbookViewId="0" topLeftCell="A1">
      <selection activeCell="A51" sqref="A51"/>
    </sheetView>
  </sheetViews>
  <sheetFormatPr defaultColWidth="9.140625" defaultRowHeight="12.75"/>
  <cols>
    <col min="1" max="1" width="26.140625" style="3" customWidth="1"/>
    <col min="2" max="2" width="20.421875" style="3" customWidth="1"/>
    <col min="3" max="3" width="15.421875" style="0" customWidth="1"/>
    <col min="4" max="4" width="14.140625" style="0" bestFit="1" customWidth="1"/>
    <col min="5" max="5" width="20.8515625" style="3" customWidth="1"/>
    <col min="6" max="6" width="13.7109375" style="0" customWidth="1"/>
    <col min="7" max="7" width="13.57421875" style="0" bestFit="1" customWidth="1"/>
    <col min="8" max="8" width="15.8515625" style="0" bestFit="1" customWidth="1"/>
    <col min="9" max="9" width="12.8515625" style="0" bestFit="1" customWidth="1"/>
    <col min="10" max="10" width="12.421875" style="0" bestFit="1" customWidth="1"/>
    <col min="11" max="11" width="20.57421875" style="0" bestFit="1" customWidth="1"/>
    <col min="12" max="12" width="13.421875" style="0" bestFit="1" customWidth="1"/>
    <col min="13" max="13" width="11.57421875" style="0" bestFit="1" customWidth="1"/>
  </cols>
  <sheetData>
    <row r="1" spans="1:13" ht="12.75">
      <c r="A1" s="2" t="s">
        <v>5</v>
      </c>
      <c r="B1" s="2" t="s">
        <v>12</v>
      </c>
      <c r="C1" s="1" t="s">
        <v>62</v>
      </c>
      <c r="D1" s="1" t="s">
        <v>130</v>
      </c>
      <c r="E1" s="2" t="s">
        <v>189</v>
      </c>
      <c r="F1" s="2" t="s">
        <v>210</v>
      </c>
      <c r="G1" s="2" t="s">
        <v>173</v>
      </c>
      <c r="H1" s="2" t="s">
        <v>42</v>
      </c>
      <c r="I1" s="2" t="s">
        <v>100</v>
      </c>
      <c r="J1" s="2" t="s">
        <v>101</v>
      </c>
      <c r="K1" s="2" t="s">
        <v>220</v>
      </c>
      <c r="L1" s="2" t="s">
        <v>46</v>
      </c>
      <c r="M1" s="2" t="s">
        <v>47</v>
      </c>
    </row>
    <row r="2" spans="1:17" ht="12.75">
      <c r="A2" s="3" t="s">
        <v>6</v>
      </c>
      <c r="B2" s="3" t="s">
        <v>13</v>
      </c>
      <c r="C2" t="s">
        <v>63</v>
      </c>
      <c r="D2" t="s">
        <v>131</v>
      </c>
      <c r="E2" s="4" t="s">
        <v>200</v>
      </c>
      <c r="F2" s="4" t="s">
        <v>200</v>
      </c>
      <c r="G2" s="4" t="s">
        <v>217</v>
      </c>
      <c r="H2" s="4" t="s">
        <v>221</v>
      </c>
      <c r="I2" s="4" t="s">
        <v>43</v>
      </c>
      <c r="J2" s="4" t="s">
        <v>258</v>
      </c>
      <c r="K2" s="4" t="s">
        <v>262</v>
      </c>
      <c r="L2" s="4" t="s">
        <v>268</v>
      </c>
      <c r="M2" s="4" t="s">
        <v>223</v>
      </c>
      <c r="Q2">
        <v>2</v>
      </c>
    </row>
    <row r="3" spans="1:13" ht="12.75">
      <c r="A3" s="3" t="s">
        <v>8</v>
      </c>
      <c r="B3" s="3" t="s">
        <v>16</v>
      </c>
      <c r="C3" t="s">
        <v>64</v>
      </c>
      <c r="D3" t="s">
        <v>132</v>
      </c>
      <c r="E3" s="3" t="s">
        <v>190</v>
      </c>
      <c r="F3" s="4" t="s">
        <v>211</v>
      </c>
      <c r="G3" s="4" t="s">
        <v>218</v>
      </c>
      <c r="H3" s="4" t="s">
        <v>222</v>
      </c>
      <c r="I3" s="4" t="s">
        <v>257</v>
      </c>
      <c r="J3" s="4" t="s">
        <v>259</v>
      </c>
      <c r="K3" s="4" t="s">
        <v>263</v>
      </c>
      <c r="L3" s="4" t="s">
        <v>269</v>
      </c>
      <c r="M3" s="4" t="s">
        <v>225</v>
      </c>
    </row>
    <row r="4" spans="1:13" ht="12.75">
      <c r="A4" s="3" t="s">
        <v>7</v>
      </c>
      <c r="B4" s="3" t="s">
        <v>19</v>
      </c>
      <c r="C4" t="s">
        <v>65</v>
      </c>
      <c r="D4" t="s">
        <v>133</v>
      </c>
      <c r="E4" s="3" t="s">
        <v>191</v>
      </c>
      <c r="F4" s="4" t="s">
        <v>192</v>
      </c>
      <c r="G4" s="4" t="s">
        <v>209</v>
      </c>
      <c r="H4" s="4" t="s">
        <v>223</v>
      </c>
      <c r="J4" s="4" t="s">
        <v>260</v>
      </c>
      <c r="K4" s="4" t="s">
        <v>264</v>
      </c>
      <c r="L4" s="4" t="s">
        <v>270</v>
      </c>
      <c r="M4" s="4" t="s">
        <v>271</v>
      </c>
    </row>
    <row r="5" spans="1:11" ht="12.75">
      <c r="A5" s="3" t="s">
        <v>9</v>
      </c>
      <c r="B5" s="3" t="s">
        <v>91</v>
      </c>
      <c r="D5" t="s">
        <v>134</v>
      </c>
      <c r="E5" s="3" t="s">
        <v>192</v>
      </c>
      <c r="F5" s="3" t="s">
        <v>212</v>
      </c>
      <c r="H5" s="4" t="s">
        <v>224</v>
      </c>
      <c r="J5" s="4" t="s">
        <v>261</v>
      </c>
      <c r="K5" s="4" t="s">
        <v>183</v>
      </c>
    </row>
    <row r="6" spans="1:11" ht="12.75">
      <c r="A6" s="3" t="s">
        <v>10</v>
      </c>
      <c r="B6" s="3" t="s">
        <v>20</v>
      </c>
      <c r="D6" t="s">
        <v>135</v>
      </c>
      <c r="E6" s="3" t="s">
        <v>193</v>
      </c>
      <c r="F6" s="3" t="s">
        <v>167</v>
      </c>
      <c r="H6" s="4" t="s">
        <v>225</v>
      </c>
      <c r="J6" s="4" t="s">
        <v>169</v>
      </c>
      <c r="K6" s="4" t="s">
        <v>265</v>
      </c>
    </row>
    <row r="7" spans="1:11" ht="12.75">
      <c r="A7" s="3" t="s">
        <v>11</v>
      </c>
      <c r="B7" s="3" t="s">
        <v>14</v>
      </c>
      <c r="E7" s="3" t="s">
        <v>194</v>
      </c>
      <c r="F7" s="3" t="s">
        <v>213</v>
      </c>
      <c r="H7" s="4" t="s">
        <v>226</v>
      </c>
      <c r="K7" s="4" t="s">
        <v>266</v>
      </c>
    </row>
    <row r="8" spans="2:11" ht="12.75">
      <c r="B8" s="3" t="s">
        <v>90</v>
      </c>
      <c r="E8" s="3" t="s">
        <v>195</v>
      </c>
      <c r="F8" s="3" t="s">
        <v>191</v>
      </c>
      <c r="H8" s="4" t="s">
        <v>227</v>
      </c>
      <c r="K8" s="4" t="s">
        <v>267</v>
      </c>
    </row>
    <row r="9" spans="2:8" ht="12.75">
      <c r="B9" s="3" t="s">
        <v>15</v>
      </c>
      <c r="E9" s="3" t="s">
        <v>168</v>
      </c>
      <c r="F9" s="3" t="s">
        <v>214</v>
      </c>
      <c r="H9" s="4" t="s">
        <v>228</v>
      </c>
    </row>
    <row r="10" spans="2:8" ht="12.75">
      <c r="B10" s="3" t="s">
        <v>17</v>
      </c>
      <c r="E10" s="4" t="s">
        <v>187</v>
      </c>
      <c r="F10" s="3"/>
      <c r="H10" s="4" t="s">
        <v>229</v>
      </c>
    </row>
    <row r="11" spans="2:8" ht="12.75">
      <c r="B11" s="3" t="s">
        <v>18</v>
      </c>
      <c r="E11" s="3" t="s">
        <v>196</v>
      </c>
      <c r="H11" s="4" t="s">
        <v>230</v>
      </c>
    </row>
    <row r="12" spans="5:8" ht="12.75">
      <c r="E12" s="3" t="s">
        <v>3</v>
      </c>
      <c r="H12" s="4" t="s">
        <v>231</v>
      </c>
    </row>
    <row r="13" spans="5:8" ht="12.75">
      <c r="E13" s="3" t="s">
        <v>4</v>
      </c>
      <c r="H13" s="4" t="s">
        <v>232</v>
      </c>
    </row>
    <row r="14" spans="2:11" ht="12.75">
      <c r="B14" s="2" t="s">
        <v>174</v>
      </c>
      <c r="C14" s="2"/>
      <c r="D14" s="1"/>
      <c r="E14" s="3" t="s">
        <v>197</v>
      </c>
      <c r="F14" s="1"/>
      <c r="G14" s="1"/>
      <c r="H14" s="4" t="s">
        <v>233</v>
      </c>
      <c r="I14" s="1"/>
      <c r="J14" s="1"/>
      <c r="K14" s="1"/>
    </row>
    <row r="15" spans="1:8" ht="12.75">
      <c r="A15" s="2" t="s">
        <v>170</v>
      </c>
      <c r="B15" s="3">
        <v>0</v>
      </c>
      <c r="C15" s="3"/>
      <c r="E15" s="3" t="s">
        <v>198</v>
      </c>
      <c r="H15" s="4" t="s">
        <v>234</v>
      </c>
    </row>
    <row r="16" spans="1:11" ht="12.75">
      <c r="A16" s="2" t="s">
        <v>171</v>
      </c>
      <c r="B16" s="3">
        <v>0</v>
      </c>
      <c r="C16" s="3"/>
      <c r="D16" s="3"/>
      <c r="E16" s="3" t="s">
        <v>199</v>
      </c>
      <c r="F16" s="3"/>
      <c r="G16" s="3"/>
      <c r="H16" s="3" t="s">
        <v>235</v>
      </c>
      <c r="I16" s="3"/>
      <c r="J16" s="3"/>
      <c r="K16" s="3"/>
    </row>
    <row r="17" spans="1:8" ht="12.75">
      <c r="A17" s="2" t="s">
        <v>172</v>
      </c>
      <c r="B17" s="3">
        <v>0</v>
      </c>
      <c r="C17" s="3"/>
      <c r="E17" s="3" t="s">
        <v>188</v>
      </c>
      <c r="H17" s="3" t="s">
        <v>236</v>
      </c>
    </row>
    <row r="18" spans="1:8" ht="12.75">
      <c r="A18" s="2" t="s">
        <v>40</v>
      </c>
      <c r="B18" s="3">
        <v>0</v>
      </c>
      <c r="C18" s="3"/>
      <c r="E18" s="3" t="s">
        <v>201</v>
      </c>
      <c r="H18" s="3" t="s">
        <v>237</v>
      </c>
    </row>
    <row r="19" spans="1:8" ht="12.75">
      <c r="A19" s="2" t="s">
        <v>173</v>
      </c>
      <c r="B19" s="3">
        <v>0</v>
      </c>
      <c r="C19" s="3"/>
      <c r="E19" s="3" t="s">
        <v>202</v>
      </c>
      <c r="H19" s="3" t="s">
        <v>238</v>
      </c>
    </row>
    <row r="20" spans="1:8" ht="12.75">
      <c r="A20" s="2" t="s">
        <v>42</v>
      </c>
      <c r="B20" s="3">
        <v>0</v>
      </c>
      <c r="C20" s="3"/>
      <c r="E20" s="3" t="s">
        <v>203</v>
      </c>
      <c r="H20" s="3" t="s">
        <v>239</v>
      </c>
    </row>
    <row r="21" spans="1:8" ht="12.75">
      <c r="A21" s="2" t="s">
        <v>100</v>
      </c>
      <c r="B21" s="3">
        <v>0</v>
      </c>
      <c r="C21" s="3"/>
      <c r="E21" s="3" t="s">
        <v>204</v>
      </c>
      <c r="H21" s="3" t="s">
        <v>240</v>
      </c>
    </row>
    <row r="22" spans="1:8" ht="12.75">
      <c r="A22" s="2" t="s">
        <v>101</v>
      </c>
      <c r="B22" s="3">
        <v>0</v>
      </c>
      <c r="C22" s="3"/>
      <c r="E22" s="3" t="s">
        <v>205</v>
      </c>
      <c r="H22" s="3" t="s">
        <v>241</v>
      </c>
    </row>
    <row r="23" spans="1:8" ht="12.75">
      <c r="A23" s="2" t="s">
        <v>102</v>
      </c>
      <c r="B23" s="3">
        <v>0</v>
      </c>
      <c r="C23" s="3"/>
      <c r="E23" s="3" t="s">
        <v>177</v>
      </c>
      <c r="H23" s="3" t="s">
        <v>242</v>
      </c>
    </row>
    <row r="24" spans="1:8" ht="12.75">
      <c r="A24" s="2" t="s">
        <v>46</v>
      </c>
      <c r="B24" s="3">
        <v>0</v>
      </c>
      <c r="C24" s="3"/>
      <c r="E24" s="3" t="s">
        <v>209</v>
      </c>
      <c r="H24" s="3" t="s">
        <v>243</v>
      </c>
    </row>
    <row r="25" spans="1:8" ht="12.75">
      <c r="A25" s="2" t="s">
        <v>47</v>
      </c>
      <c r="B25" s="3">
        <v>0</v>
      </c>
      <c r="C25" s="3"/>
      <c r="H25" s="3" t="s">
        <v>244</v>
      </c>
    </row>
    <row r="26" ht="12.75">
      <c r="H26" s="3" t="s">
        <v>245</v>
      </c>
    </row>
    <row r="27" ht="12.75">
      <c r="H27" s="3" t="s">
        <v>246</v>
      </c>
    </row>
    <row r="28" ht="12.75">
      <c r="H28" s="3" t="s">
        <v>247</v>
      </c>
    </row>
    <row r="29" ht="12.75">
      <c r="H29" s="3" t="s">
        <v>248</v>
      </c>
    </row>
    <row r="30" ht="12.75">
      <c r="H30" s="3" t="s">
        <v>249</v>
      </c>
    </row>
    <row r="31" ht="12.75">
      <c r="H31" s="3" t="s">
        <v>250</v>
      </c>
    </row>
    <row r="32" ht="12.75">
      <c r="H32" s="3" t="s">
        <v>251</v>
      </c>
    </row>
    <row r="33" ht="12.75">
      <c r="H33" s="3" t="s">
        <v>252</v>
      </c>
    </row>
    <row r="34" ht="12.75">
      <c r="H34" s="3" t="s">
        <v>253</v>
      </c>
    </row>
    <row r="35" ht="12.75">
      <c r="H35" s="3" t="s">
        <v>254</v>
      </c>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4"/>
  <dimension ref="A1:Y1"/>
  <sheetViews>
    <sheetView workbookViewId="0" topLeftCell="A1">
      <selection activeCell="A2" sqref="A2:IV2"/>
    </sheetView>
  </sheetViews>
  <sheetFormatPr defaultColWidth="9.140625" defaultRowHeight="12.75"/>
  <cols>
    <col min="1" max="1" width="15.421875" style="3" customWidth="1"/>
    <col min="2" max="2" width="5.421875" style="3" customWidth="1"/>
    <col min="3" max="3" width="9.00390625" style="3" customWidth="1"/>
    <col min="4" max="4" width="9.8515625" style="3" customWidth="1"/>
    <col min="5" max="5" width="6.28125" style="3" customWidth="1"/>
    <col min="6" max="6" width="8.00390625" style="3" customWidth="1"/>
    <col min="7" max="7" width="12.7109375" style="3" customWidth="1"/>
    <col min="8" max="8" width="7.421875" style="3" customWidth="1"/>
    <col min="9" max="9" width="13.140625" style="3" customWidth="1"/>
    <col min="10" max="10" width="10.8515625" style="3" customWidth="1"/>
    <col min="11" max="11" width="10.7109375" style="3" customWidth="1"/>
    <col min="12" max="12" width="8.140625" style="3" customWidth="1"/>
    <col min="13" max="13" width="9.00390625" style="3" customWidth="1"/>
    <col min="14" max="14" width="9.421875" style="3" customWidth="1"/>
    <col min="15" max="15" width="7.7109375" style="3" customWidth="1"/>
    <col min="16" max="17" width="7.421875" style="3" customWidth="1"/>
    <col min="18" max="18" width="7.57421875" style="3" customWidth="1"/>
    <col min="19" max="22" width="7.00390625" style="3" customWidth="1"/>
    <col min="23" max="23" width="8.00390625" style="3" customWidth="1"/>
    <col min="24" max="24" width="8.8515625" style="3" customWidth="1"/>
    <col min="25" max="25" width="8.00390625" style="3" customWidth="1"/>
    <col min="26" max="16384" width="9.140625" style="3" customWidth="1"/>
  </cols>
  <sheetData>
    <row r="1" spans="1:25" ht="12.75">
      <c r="A1" s="2" t="s">
        <v>36</v>
      </c>
      <c r="B1" s="2" t="s">
        <v>27</v>
      </c>
      <c r="C1" s="2" t="s">
        <v>116</v>
      </c>
      <c r="D1" s="2" t="s">
        <v>162</v>
      </c>
      <c r="E1" s="2" t="s">
        <v>31</v>
      </c>
      <c r="F1" s="2" t="s">
        <v>32</v>
      </c>
      <c r="G1" s="2" t="s">
        <v>73</v>
      </c>
      <c r="H1" s="2" t="s">
        <v>66</v>
      </c>
      <c r="I1" s="2" t="s">
        <v>35</v>
      </c>
      <c r="J1" s="2" t="s">
        <v>165</v>
      </c>
      <c r="K1" s="2" t="s">
        <v>163</v>
      </c>
      <c r="L1" s="2" t="s">
        <v>22</v>
      </c>
      <c r="M1" s="2" t="s">
        <v>24</v>
      </c>
      <c r="N1" s="2" t="s">
        <v>25</v>
      </c>
      <c r="O1" s="2" t="s">
        <v>23</v>
      </c>
      <c r="P1" s="2" t="s">
        <v>54</v>
      </c>
      <c r="Q1" s="2" t="s">
        <v>50</v>
      </c>
      <c r="R1" s="2" t="s">
        <v>55</v>
      </c>
      <c r="S1" s="2" t="s">
        <v>48</v>
      </c>
      <c r="T1" s="2" t="s">
        <v>51</v>
      </c>
      <c r="U1" s="2" t="s">
        <v>52</v>
      </c>
      <c r="V1" s="2" t="s">
        <v>53</v>
      </c>
      <c r="W1" s="2" t="s">
        <v>49</v>
      </c>
      <c r="X1" s="2" t="s">
        <v>161</v>
      </c>
      <c r="Y1" s="2" t="s">
        <v>34</v>
      </c>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5"/>
  <dimension ref="A1:AA1"/>
  <sheetViews>
    <sheetView workbookViewId="0" topLeftCell="A1">
      <selection activeCell="A2" sqref="A2:IV2"/>
    </sheetView>
  </sheetViews>
  <sheetFormatPr defaultColWidth="9.140625" defaultRowHeight="12.75"/>
  <cols>
    <col min="1" max="1" width="11.28125" style="3" bestFit="1" customWidth="1"/>
    <col min="2" max="2" width="5.421875" style="3" bestFit="1" customWidth="1"/>
    <col min="3" max="3" width="6.28125" style="3" bestFit="1" customWidth="1"/>
    <col min="4" max="4" width="8.00390625" style="3" bestFit="1" customWidth="1"/>
    <col min="5" max="5" width="12.7109375" style="3" bestFit="1" customWidth="1"/>
    <col min="6" max="6" width="11.28125" style="3" bestFit="1" customWidth="1"/>
    <col min="7" max="7" width="7.421875" style="3" bestFit="1" customWidth="1"/>
    <col min="8" max="8" width="13.140625" style="3" bestFit="1" customWidth="1"/>
    <col min="9" max="9" width="10.8515625" style="3" bestFit="1" customWidth="1"/>
    <col min="10" max="10" width="10.7109375" style="3" bestFit="1" customWidth="1"/>
    <col min="11" max="11" width="6.8515625" style="3" bestFit="1" customWidth="1"/>
    <col min="12" max="12" width="8.8515625" style="3" bestFit="1" customWidth="1"/>
    <col min="13" max="13" width="14.00390625" style="3" bestFit="1" customWidth="1"/>
    <col min="14" max="14" width="15.7109375" style="3" bestFit="1" customWidth="1"/>
    <col min="15" max="15" width="8.140625" style="3" bestFit="1" customWidth="1"/>
    <col min="16" max="16" width="9.00390625" style="3" bestFit="1" customWidth="1"/>
    <col min="17" max="17" width="9.421875" style="3" bestFit="1" customWidth="1"/>
    <col min="18" max="18" width="7.7109375" style="3" bestFit="1" customWidth="1"/>
    <col min="19" max="20" width="7.421875" style="3" bestFit="1" customWidth="1"/>
    <col min="21" max="21" width="7.57421875" style="3" bestFit="1" customWidth="1"/>
    <col min="22" max="25" width="7.00390625" style="3" bestFit="1" customWidth="1"/>
    <col min="26" max="26" width="8.00390625" style="3" bestFit="1" customWidth="1"/>
    <col min="27" max="27" width="8.8515625" style="3" bestFit="1" customWidth="1"/>
    <col min="28" max="16384" width="9.140625" style="3" customWidth="1"/>
  </cols>
  <sheetData>
    <row r="1" spans="1:27" ht="12.75">
      <c r="A1" s="2" t="s">
        <v>36</v>
      </c>
      <c r="B1" s="2" t="s">
        <v>27</v>
      </c>
      <c r="C1" s="2" t="s">
        <v>31</v>
      </c>
      <c r="D1" s="2" t="s">
        <v>32</v>
      </c>
      <c r="E1" s="2" t="s">
        <v>73</v>
      </c>
      <c r="F1" s="2" t="s">
        <v>184</v>
      </c>
      <c r="G1" s="2" t="s">
        <v>66</v>
      </c>
      <c r="H1" s="2" t="s">
        <v>35</v>
      </c>
      <c r="I1" s="2" t="s">
        <v>165</v>
      </c>
      <c r="J1" s="2" t="s">
        <v>163</v>
      </c>
      <c r="K1" s="2" t="s">
        <v>150</v>
      </c>
      <c r="L1" s="2" t="s">
        <v>116</v>
      </c>
      <c r="M1" s="2" t="s">
        <v>185</v>
      </c>
      <c r="N1" s="2" t="s">
        <v>186</v>
      </c>
      <c r="O1" s="2" t="s">
        <v>22</v>
      </c>
      <c r="P1" s="2" t="s">
        <v>24</v>
      </c>
      <c r="Q1" s="2" t="s">
        <v>25</v>
      </c>
      <c r="R1" s="2" t="s">
        <v>23</v>
      </c>
      <c r="S1" s="2" t="s">
        <v>54</v>
      </c>
      <c r="T1" s="2" t="s">
        <v>50</v>
      </c>
      <c r="U1" s="2" t="s">
        <v>55</v>
      </c>
      <c r="V1" s="2" t="s">
        <v>48</v>
      </c>
      <c r="W1" s="2" t="s">
        <v>51</v>
      </c>
      <c r="X1" s="2" t="s">
        <v>52</v>
      </c>
      <c r="Y1" s="2" t="s">
        <v>53</v>
      </c>
      <c r="Z1" s="2" t="s">
        <v>49</v>
      </c>
      <c r="AA1" s="2" t="s">
        <v>161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G1"/>
  <sheetViews>
    <sheetView workbookViewId="0" topLeftCell="A1">
      <selection activeCell="A2" sqref="A2:IV2"/>
    </sheetView>
  </sheetViews>
  <sheetFormatPr defaultColWidth="9.140625" defaultRowHeight="12.75"/>
  <cols>
    <col min="1" max="1" width="19.7109375" style="3" customWidth="1"/>
    <col min="2" max="2" width="5.421875" style="3" bestFit="1" customWidth="1"/>
    <col min="3" max="3" width="6.28125" style="3" bestFit="1" customWidth="1"/>
    <col min="4" max="4" width="8.00390625" style="3" bestFit="1" customWidth="1"/>
    <col min="5" max="5" width="13.00390625" style="3" bestFit="1" customWidth="1"/>
    <col min="6" max="7" width="10.8515625" style="3" bestFit="1" customWidth="1"/>
    <col min="8" max="16384" width="9.140625" style="3" customWidth="1"/>
  </cols>
  <sheetData>
    <row r="1" spans="1:7" ht="12.75">
      <c r="A1" s="2" t="s">
        <v>36</v>
      </c>
      <c r="B1" s="2" t="s">
        <v>27</v>
      </c>
      <c r="C1" s="2" t="s">
        <v>31</v>
      </c>
      <c r="D1" s="2" t="s">
        <v>32</v>
      </c>
      <c r="E1" s="2" t="s">
        <v>35</v>
      </c>
      <c r="F1" s="2" t="s">
        <v>165</v>
      </c>
      <c r="G1" s="2" t="s">
        <v>166</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G1"/>
  <sheetViews>
    <sheetView workbookViewId="0" topLeftCell="A1">
      <selection activeCell="A2" sqref="A2:IV2"/>
    </sheetView>
  </sheetViews>
  <sheetFormatPr defaultColWidth="9.140625" defaultRowHeight="12.75"/>
  <cols>
    <col min="1" max="1" width="19.7109375" style="3" customWidth="1"/>
    <col min="2" max="2" width="5.421875" style="3" customWidth="1"/>
    <col min="3" max="3" width="6.28125" style="3" customWidth="1"/>
    <col min="4" max="4" width="8.00390625" style="3" customWidth="1"/>
    <col min="5" max="5" width="13.00390625" style="3" customWidth="1"/>
    <col min="6" max="7" width="10.8515625" style="3" customWidth="1"/>
    <col min="8" max="16384" width="9.140625" style="3" customWidth="1"/>
  </cols>
  <sheetData>
    <row r="1" spans="1:7" ht="12.75">
      <c r="A1" s="2" t="s">
        <v>36</v>
      </c>
      <c r="B1" s="2" t="s">
        <v>27</v>
      </c>
      <c r="C1" s="2" t="s">
        <v>31</v>
      </c>
      <c r="D1" s="2" t="s">
        <v>32</v>
      </c>
      <c r="E1" s="2" t="s">
        <v>35</v>
      </c>
      <c r="F1" s="2" t="s">
        <v>165</v>
      </c>
      <c r="G1" s="2" t="s">
        <v>166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1:G1"/>
  <sheetViews>
    <sheetView workbookViewId="0" topLeftCell="A1">
      <selection activeCell="A2" sqref="A2:IV2"/>
    </sheetView>
  </sheetViews>
  <sheetFormatPr defaultColWidth="9.140625" defaultRowHeight="12.75"/>
  <cols>
    <col min="1" max="1" width="19.7109375" style="3" customWidth="1"/>
    <col min="2" max="2" width="5.421875" style="3" customWidth="1"/>
    <col min="3" max="3" width="6.28125" style="3" customWidth="1"/>
    <col min="4" max="4" width="8.00390625" style="3" customWidth="1"/>
    <col min="5" max="5" width="13.00390625" style="3" customWidth="1"/>
    <col min="6" max="7" width="10.8515625" style="3" customWidth="1"/>
    <col min="8" max="16384" width="9.140625" style="3" customWidth="1"/>
  </cols>
  <sheetData>
    <row r="1" spans="1:7" ht="12.75">
      <c r="A1" s="2" t="s">
        <v>36</v>
      </c>
      <c r="B1" s="2" t="s">
        <v>27</v>
      </c>
      <c r="C1" s="2" t="s">
        <v>31</v>
      </c>
      <c r="D1" s="2" t="s">
        <v>32</v>
      </c>
      <c r="E1" s="2" t="s">
        <v>35</v>
      </c>
      <c r="F1" s="2" t="s">
        <v>165</v>
      </c>
      <c r="G1" s="2" t="s">
        <v>166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N/A</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Angband Damage Calculator</dc:title>
  <dc:subject>Vanilla</dc:subject>
  <dc:creator>John M. Ewing</dc:creator>
  <cp:keywords>Angband Vanilla Damage Calculator</cp:keywords>
  <dc:description>Version 0.0.4</dc:description>
  <cp:lastModifiedBy>john</cp:lastModifiedBy>
  <dcterms:created xsi:type="dcterms:W3CDTF">2001-05-21T20:53:14Z</dcterms:created>
  <dcterms:modified xsi:type="dcterms:W3CDTF">2002-05-08T23:46:18Z</dcterms:modified>
  <cp:category>Fun</cp:category>
  <cp:version/>
  <cp:contentType/>
  <cp:contentStatus/>
</cp:coreProperties>
</file>

<file path=docProps/custom.xml><?xml version="1.0" encoding="utf-8"?>
<Properties xmlns="http://schemas.openxmlformats.org/officeDocument/2006/custom-properties" xmlns:vt="http://schemas.openxmlformats.org/officeDocument/2006/docPropsVTypes"/>
</file>